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7965" yWindow="600" windowWidth="11655" windowHeight="5535" activeTab="1"/>
  </bookViews>
  <sheets>
    <sheet name="รายงานรับ - จ่าย เงินสด" sheetId="14" r:id="rId1"/>
    <sheet name="หมายเหตุงบรับ -จ่าย" sheetId="29" r:id="rId2"/>
    <sheet name="งบทดลองุ62" sheetId="18" r:id="rId3"/>
    <sheet name="หมายเหตุ1" sheetId="33" r:id="rId4"/>
    <sheet name="หมายเหตุ 2" sheetId="34" r:id="rId5"/>
  </sheets>
  <calcPr calcId="125725"/>
</workbook>
</file>

<file path=xl/calcChain.xml><?xml version="1.0" encoding="utf-8"?>
<calcChain xmlns="http://schemas.openxmlformats.org/spreadsheetml/2006/main">
  <c r="H326" i="18"/>
  <c r="D675" i="14"/>
  <c r="D674"/>
  <c r="D672"/>
  <c r="D670"/>
  <c r="D666"/>
  <c r="D665"/>
  <c r="D664"/>
  <c r="D663"/>
  <c r="D662"/>
  <c r="D661"/>
  <c r="D660"/>
  <c r="D631"/>
  <c r="D628"/>
  <c r="D627"/>
  <c r="D625"/>
  <c r="D622"/>
  <c r="D621"/>
  <c r="A662"/>
  <c r="A664"/>
  <c r="I310" i="34" l="1"/>
  <c r="I309"/>
  <c r="I308"/>
  <c r="I312"/>
  <c r="I311"/>
  <c r="I302"/>
  <c r="I301"/>
  <c r="I300"/>
  <c r="I299"/>
  <c r="I298"/>
  <c r="I303" s="1"/>
  <c r="D681" i="33"/>
  <c r="D673"/>
  <c r="D672"/>
  <c r="D670"/>
  <c r="D668"/>
  <c r="D667"/>
  <c r="D666"/>
  <c r="D665"/>
  <c r="D661"/>
  <c r="D660"/>
  <c r="D654"/>
  <c r="D649"/>
  <c r="D653"/>
  <c r="D652"/>
  <c r="D650"/>
  <c r="D648"/>
  <c r="D646"/>
  <c r="D640"/>
  <c r="D639"/>
  <c r="D638"/>
  <c r="D689"/>
  <c r="C689"/>
  <c r="C683"/>
  <c r="D683"/>
  <c r="C674"/>
  <c r="D671"/>
  <c r="D674"/>
  <c r="C662"/>
  <c r="D662"/>
  <c r="C658"/>
  <c r="D657"/>
  <c r="D658" s="1"/>
  <c r="C655"/>
  <c r="D651"/>
  <c r="D647"/>
  <c r="D645"/>
  <c r="D644"/>
  <c r="D655" s="1"/>
  <c r="C642"/>
  <c r="C690" s="1"/>
  <c r="D642"/>
  <c r="C297" i="18"/>
  <c r="I313" i="34" l="1"/>
  <c r="D690" i="33"/>
  <c r="G690" s="1"/>
  <c r="C320" i="18" l="1"/>
  <c r="C316"/>
  <c r="C315"/>
  <c r="C314"/>
  <c r="C313"/>
  <c r="C312"/>
  <c r="C311"/>
  <c r="C310"/>
  <c r="D308"/>
  <c r="D307"/>
  <c r="D305"/>
  <c r="D323" s="1"/>
  <c r="C302"/>
  <c r="C323" s="1"/>
  <c r="G323" s="1"/>
  <c r="C295"/>
  <c r="G320"/>
  <c r="H320" s="1"/>
  <c r="H306"/>
  <c r="G306"/>
  <c r="D306"/>
  <c r="G305"/>
  <c r="C303"/>
  <c r="C301"/>
  <c r="C300"/>
  <c r="C298"/>
  <c r="C296"/>
  <c r="D1084" i="29"/>
  <c r="C1084"/>
  <c r="D1080"/>
  <c r="C1080"/>
  <c r="C1079"/>
  <c r="D1077"/>
  <c r="C1077"/>
  <c r="D1076"/>
  <c r="C1076"/>
  <c r="D1062"/>
  <c r="C964"/>
  <c r="D1082"/>
  <c r="C1082"/>
  <c r="C1086"/>
  <c r="D1086"/>
  <c r="D1072"/>
  <c r="C1072"/>
  <c r="D1045"/>
  <c r="C1045"/>
  <c r="D1017"/>
  <c r="C1017"/>
  <c r="D991"/>
  <c r="C991"/>
  <c r="E990"/>
  <c r="E989"/>
  <c r="E988"/>
  <c r="E987"/>
  <c r="E986"/>
  <c r="E985"/>
  <c r="E984"/>
  <c r="E983"/>
  <c r="E982"/>
  <c r="E981"/>
  <c r="E980"/>
  <c r="E979"/>
  <c r="E978"/>
  <c r="E977"/>
  <c r="E976"/>
  <c r="E975"/>
  <c r="E974"/>
  <c r="E973"/>
  <c r="E972"/>
  <c r="E971"/>
  <c r="E970"/>
  <c r="E969"/>
  <c r="E968"/>
  <c r="E967"/>
  <c r="E966"/>
  <c r="E965"/>
  <c r="E964"/>
  <c r="G687" i="14"/>
  <c r="G684"/>
  <c r="G674"/>
  <c r="G672"/>
  <c r="G631"/>
  <c r="G627"/>
  <c r="G625"/>
  <c r="G622"/>
  <c r="G621"/>
  <c r="K687"/>
  <c r="D673"/>
  <c r="G671"/>
  <c r="G683" s="1"/>
  <c r="B671"/>
  <c r="A670"/>
  <c r="C670" s="1"/>
  <c r="I669"/>
  <c r="A669"/>
  <c r="C669" s="1"/>
  <c r="C668"/>
  <c r="A668"/>
  <c r="A667"/>
  <c r="J668" s="1"/>
  <c r="A666"/>
  <c r="C666" s="1"/>
  <c r="C665"/>
  <c r="A665"/>
  <c r="C664"/>
  <c r="C663"/>
  <c r="A663"/>
  <c r="J666" s="1"/>
  <c r="J662"/>
  <c r="C662"/>
  <c r="C661"/>
  <c r="J660"/>
  <c r="D671"/>
  <c r="D683" s="1"/>
  <c r="C660"/>
  <c r="A660"/>
  <c r="D635"/>
  <c r="D634"/>
  <c r="D633"/>
  <c r="D632"/>
  <c r="B630"/>
  <c r="C628"/>
  <c r="A627"/>
  <c r="C626"/>
  <c r="A625"/>
  <c r="C624"/>
  <c r="C630" s="1"/>
  <c r="D623"/>
  <c r="A623"/>
  <c r="A622"/>
  <c r="G630"/>
  <c r="G643" s="1"/>
  <c r="D630"/>
  <c r="D643" s="1"/>
  <c r="A621"/>
  <c r="A630" s="1"/>
  <c r="G619"/>
  <c r="D619"/>
  <c r="G600" i="33"/>
  <c r="H279" i="18"/>
  <c r="G279"/>
  <c r="A577" i="14"/>
  <c r="A575"/>
  <c r="C274" i="18"/>
  <c r="C273"/>
  <c r="D684" i="14" l="1"/>
  <c r="D687" s="1"/>
  <c r="H322" i="18"/>
  <c r="H323"/>
  <c r="E991" i="29"/>
  <c r="I628" i="14"/>
  <c r="I667"/>
  <c r="A671"/>
  <c r="C667"/>
  <c r="C671" s="1"/>
  <c r="J669"/>
  <c r="J671" s="1"/>
  <c r="J670"/>
  <c r="J628"/>
  <c r="I541"/>
  <c r="J687" l="1"/>
  <c r="J691"/>
  <c r="I269" i="34"/>
  <c r="I268"/>
  <c r="I267"/>
  <c r="I266"/>
  <c r="I270"/>
  <c r="I260"/>
  <c r="I259"/>
  <c r="I258"/>
  <c r="I257"/>
  <c r="I261" s="1"/>
  <c r="I256"/>
  <c r="D563" i="33"/>
  <c r="D556"/>
  <c r="D591"/>
  <c r="D593" s="1"/>
  <c r="D583"/>
  <c r="D580"/>
  <c r="D577"/>
  <c r="D576"/>
  <c r="D575"/>
  <c r="D564"/>
  <c r="D559"/>
  <c r="D562"/>
  <c r="D560"/>
  <c r="D550"/>
  <c r="D549"/>
  <c r="D548"/>
  <c r="D599"/>
  <c r="C599"/>
  <c r="C593"/>
  <c r="C584"/>
  <c r="D582"/>
  <c r="D581"/>
  <c r="D578"/>
  <c r="C572"/>
  <c r="D571"/>
  <c r="D570"/>
  <c r="D572" s="1"/>
  <c r="D568"/>
  <c r="C568"/>
  <c r="D567"/>
  <c r="C565"/>
  <c r="D561"/>
  <c r="D558"/>
  <c r="D557"/>
  <c r="D555"/>
  <c r="D554"/>
  <c r="C552"/>
  <c r="C600" s="1"/>
  <c r="D552"/>
  <c r="H265" i="18"/>
  <c r="G265"/>
  <c r="G264"/>
  <c r="D264"/>
  <c r="H282"/>
  <c r="C275"/>
  <c r="C272"/>
  <c r="C271"/>
  <c r="C270"/>
  <c r="C269"/>
  <c r="D267"/>
  <c r="D266"/>
  <c r="J541" i="14"/>
  <c r="C261" i="18"/>
  <c r="C256"/>
  <c r="C254"/>
  <c r="C279"/>
  <c r="D265"/>
  <c r="C262"/>
  <c r="C260"/>
  <c r="C259"/>
  <c r="C257"/>
  <c r="C255"/>
  <c r="D940" i="29"/>
  <c r="D938"/>
  <c r="D936"/>
  <c r="D933"/>
  <c r="D932"/>
  <c r="C940"/>
  <c r="C938"/>
  <c r="C936"/>
  <c r="C935"/>
  <c r="C933"/>
  <c r="C932"/>
  <c r="C918"/>
  <c r="C928" s="1"/>
  <c r="D543" i="14"/>
  <c r="E846" i="29"/>
  <c r="D928"/>
  <c r="D901"/>
  <c r="C901"/>
  <c r="D873"/>
  <c r="C873"/>
  <c r="D847"/>
  <c r="E845"/>
  <c r="E844"/>
  <c r="E843"/>
  <c r="E842"/>
  <c r="E841"/>
  <c r="E840"/>
  <c r="E839"/>
  <c r="E838"/>
  <c r="E837"/>
  <c r="E836"/>
  <c r="E835"/>
  <c r="E834"/>
  <c r="E833"/>
  <c r="E832"/>
  <c r="E831"/>
  <c r="E830"/>
  <c r="E829"/>
  <c r="E828"/>
  <c r="E827"/>
  <c r="E826"/>
  <c r="E825"/>
  <c r="E824"/>
  <c r="E823"/>
  <c r="E822"/>
  <c r="E821"/>
  <c r="E820"/>
  <c r="C847"/>
  <c r="D587" i="14"/>
  <c r="D546"/>
  <c r="D544"/>
  <c r="D541"/>
  <c r="D540"/>
  <c r="D535"/>
  <c r="D534"/>
  <c r="D579"/>
  <c r="D578"/>
  <c r="D577"/>
  <c r="D576"/>
  <c r="D575"/>
  <c r="D574"/>
  <c r="D573"/>
  <c r="D585"/>
  <c r="G587"/>
  <c r="G585"/>
  <c r="G544"/>
  <c r="G541"/>
  <c r="G540"/>
  <c r="G535"/>
  <c r="G534"/>
  <c r="I271" i="34" l="1"/>
  <c r="D584" i="33"/>
  <c r="D565"/>
  <c r="C282" i="18"/>
  <c r="D282"/>
  <c r="H281"/>
  <c r="D942" i="29"/>
  <c r="C942"/>
  <c r="E847"/>
  <c r="D600" i="33" l="1"/>
  <c r="G282" i="18"/>
  <c r="K600" i="14" l="1"/>
  <c r="D586"/>
  <c r="G584"/>
  <c r="G596" s="1"/>
  <c r="B584"/>
  <c r="J583"/>
  <c r="D583"/>
  <c r="C583"/>
  <c r="A583"/>
  <c r="J582"/>
  <c r="I582"/>
  <c r="C582"/>
  <c r="A582"/>
  <c r="A581"/>
  <c r="C581" s="1"/>
  <c r="A580"/>
  <c r="I580" s="1"/>
  <c r="A579"/>
  <c r="C579" s="1"/>
  <c r="A578"/>
  <c r="C578" s="1"/>
  <c r="C577"/>
  <c r="A576"/>
  <c r="J579" s="1"/>
  <c r="J575"/>
  <c r="C574"/>
  <c r="D584"/>
  <c r="D596" s="1"/>
  <c r="A573"/>
  <c r="A584" s="1"/>
  <c r="D548"/>
  <c r="D547"/>
  <c r="D545"/>
  <c r="B543"/>
  <c r="C541"/>
  <c r="A540"/>
  <c r="C539"/>
  <c r="D538"/>
  <c r="A538"/>
  <c r="C537"/>
  <c r="C543" s="1"/>
  <c r="D536"/>
  <c r="A536"/>
  <c r="A535"/>
  <c r="D556"/>
  <c r="A534"/>
  <c r="A543" s="1"/>
  <c r="G532"/>
  <c r="D532"/>
  <c r="I493"/>
  <c r="I224" i="34"/>
  <c r="A490" i="14"/>
  <c r="A488"/>
  <c r="A496"/>
  <c r="A495"/>
  <c r="A494"/>
  <c r="A493"/>
  <c r="A492"/>
  <c r="A491"/>
  <c r="A489"/>
  <c r="A486"/>
  <c r="A403"/>
  <c r="A401"/>
  <c r="A409"/>
  <c r="A408"/>
  <c r="A407"/>
  <c r="A406"/>
  <c r="A405"/>
  <c r="A404"/>
  <c r="A402"/>
  <c r="A399"/>
  <c r="A312"/>
  <c r="A314"/>
  <c r="A322"/>
  <c r="A321"/>
  <c r="A320"/>
  <c r="A319"/>
  <c r="A318"/>
  <c r="A317"/>
  <c r="A316"/>
  <c r="A315"/>
  <c r="A227"/>
  <c r="A229"/>
  <c r="A235"/>
  <c r="A234"/>
  <c r="A233"/>
  <c r="A232"/>
  <c r="A231"/>
  <c r="A230"/>
  <c r="A228"/>
  <c r="A148"/>
  <c r="A147"/>
  <c r="A146"/>
  <c r="A145"/>
  <c r="A144"/>
  <c r="A143"/>
  <c r="A142"/>
  <c r="A141"/>
  <c r="A140"/>
  <c r="C51"/>
  <c r="C52"/>
  <c r="C53"/>
  <c r="C54"/>
  <c r="C55"/>
  <c r="C56"/>
  <c r="C57"/>
  <c r="C58"/>
  <c r="C59"/>
  <c r="C60"/>
  <c r="A58"/>
  <c r="A57"/>
  <c r="A56"/>
  <c r="A55"/>
  <c r="A54"/>
  <c r="A53"/>
  <c r="A52"/>
  <c r="A60"/>
  <c r="A59"/>
  <c r="C50"/>
  <c r="H241" i="18"/>
  <c r="D597" i="14" l="1"/>
  <c r="D600" s="1"/>
  <c r="C580"/>
  <c r="J581"/>
  <c r="G543"/>
  <c r="G556" s="1"/>
  <c r="G599" s="1"/>
  <c r="G600" s="1"/>
  <c r="J573"/>
  <c r="J584" s="1"/>
  <c r="C575"/>
  <c r="C576"/>
  <c r="C573"/>
  <c r="I228" i="34"/>
  <c r="I227"/>
  <c r="I226"/>
  <c r="I225"/>
  <c r="I217"/>
  <c r="I218"/>
  <c r="I216"/>
  <c r="I215"/>
  <c r="I214"/>
  <c r="D471" i="33"/>
  <c r="D493"/>
  <c r="D494" s="1"/>
  <c r="D491"/>
  <c r="D490"/>
  <c r="D488"/>
  <c r="D487"/>
  <c r="D486"/>
  <c r="D485"/>
  <c r="D480"/>
  <c r="D477"/>
  <c r="D478" s="1"/>
  <c r="D474"/>
  <c r="D473"/>
  <c r="D472"/>
  <c r="D470"/>
  <c r="D466"/>
  <c r="D460"/>
  <c r="D459"/>
  <c r="D458"/>
  <c r="D509"/>
  <c r="C509"/>
  <c r="D503"/>
  <c r="C503"/>
  <c r="D501"/>
  <c r="C494"/>
  <c r="D492"/>
  <c r="D482"/>
  <c r="C482"/>
  <c r="D481"/>
  <c r="C478"/>
  <c r="C475"/>
  <c r="D469"/>
  <c r="D468"/>
  <c r="D467"/>
  <c r="D465"/>
  <c r="D464"/>
  <c r="D475" s="1"/>
  <c r="C462"/>
  <c r="C510" s="1"/>
  <c r="C234" i="18"/>
  <c r="C233"/>
  <c r="C232"/>
  <c r="C231"/>
  <c r="C230"/>
  <c r="C229"/>
  <c r="C228"/>
  <c r="D226"/>
  <c r="D225"/>
  <c r="D224"/>
  <c r="D223"/>
  <c r="C221"/>
  <c r="C220"/>
  <c r="C215"/>
  <c r="C214"/>
  <c r="C213"/>
  <c r="C238"/>
  <c r="C219"/>
  <c r="C218"/>
  <c r="C216"/>
  <c r="C774" i="29"/>
  <c r="C784" s="1"/>
  <c r="D784"/>
  <c r="D788"/>
  <c r="C788"/>
  <c r="D794"/>
  <c r="D798" s="1"/>
  <c r="D792"/>
  <c r="C792"/>
  <c r="C791"/>
  <c r="D789"/>
  <c r="C789"/>
  <c r="C794"/>
  <c r="D774"/>
  <c r="D757"/>
  <c r="C677"/>
  <c r="E677" s="1"/>
  <c r="C676"/>
  <c r="C757"/>
  <c r="D729"/>
  <c r="C729"/>
  <c r="D703"/>
  <c r="E701"/>
  <c r="E700"/>
  <c r="E699"/>
  <c r="E698"/>
  <c r="E697"/>
  <c r="E696"/>
  <c r="E695"/>
  <c r="E694"/>
  <c r="E693"/>
  <c r="E692"/>
  <c r="E691"/>
  <c r="E690"/>
  <c r="C690"/>
  <c r="E689"/>
  <c r="E688"/>
  <c r="E687"/>
  <c r="E686"/>
  <c r="E685"/>
  <c r="E684"/>
  <c r="E683"/>
  <c r="E682"/>
  <c r="E681"/>
  <c r="E680"/>
  <c r="E679"/>
  <c r="E678"/>
  <c r="D500" i="14"/>
  <c r="D499"/>
  <c r="D498"/>
  <c r="D492"/>
  <c r="D491"/>
  <c r="D490"/>
  <c r="D489"/>
  <c r="D488"/>
  <c r="D487"/>
  <c r="D486"/>
  <c r="D457"/>
  <c r="D453"/>
  <c r="D451"/>
  <c r="D449"/>
  <c r="D448"/>
  <c r="D447"/>
  <c r="G457"/>
  <c r="G500"/>
  <c r="G498"/>
  <c r="G448"/>
  <c r="G453"/>
  <c r="G447"/>
  <c r="K513"/>
  <c r="B497"/>
  <c r="D496"/>
  <c r="C496"/>
  <c r="C495"/>
  <c r="C494"/>
  <c r="J494"/>
  <c r="C492"/>
  <c r="C491"/>
  <c r="I495"/>
  <c r="C490"/>
  <c r="C489"/>
  <c r="C487"/>
  <c r="J486"/>
  <c r="D461"/>
  <c r="D460"/>
  <c r="D459"/>
  <c r="D458"/>
  <c r="B456"/>
  <c r="D454"/>
  <c r="C454"/>
  <c r="A453"/>
  <c r="C452"/>
  <c r="A451"/>
  <c r="C450"/>
  <c r="A449"/>
  <c r="A448"/>
  <c r="A456" s="1"/>
  <c r="A447"/>
  <c r="D445"/>
  <c r="C584" l="1"/>
  <c r="J600"/>
  <c r="J604"/>
  <c r="I229" i="34"/>
  <c r="I219"/>
  <c r="D462" i="33"/>
  <c r="D510" s="1"/>
  <c r="H240" i="18"/>
  <c r="D241"/>
  <c r="C241"/>
  <c r="C798" i="29"/>
  <c r="C703"/>
  <c r="E676"/>
  <c r="E703" s="1"/>
  <c r="J454" i="14"/>
  <c r="D497"/>
  <c r="D509" s="1"/>
  <c r="D456"/>
  <c r="D469" s="1"/>
  <c r="G456"/>
  <c r="G469" s="1"/>
  <c r="C486"/>
  <c r="A497"/>
  <c r="C493"/>
  <c r="G497"/>
  <c r="G509" s="1"/>
  <c r="C456"/>
  <c r="C497"/>
  <c r="J488"/>
  <c r="J495"/>
  <c r="J492"/>
  <c r="J496"/>
  <c r="C488"/>
  <c r="C192" i="18"/>
  <c r="C191"/>
  <c r="G404" i="14"/>
  <c r="G403"/>
  <c r="C180" i="18"/>
  <c r="C179"/>
  <c r="G241" l="1"/>
  <c r="G512" i="14"/>
  <c r="D510"/>
  <c r="D513" s="1"/>
  <c r="J497"/>
  <c r="I186" i="34"/>
  <c r="I185"/>
  <c r="I184"/>
  <c r="I176"/>
  <c r="I172"/>
  <c r="I188"/>
  <c r="I175"/>
  <c r="I174"/>
  <c r="I173"/>
  <c r="D411" i="33"/>
  <c r="D403"/>
  <c r="D402"/>
  <c r="D400"/>
  <c r="D398"/>
  <c r="D397"/>
  <c r="D396"/>
  <c r="D395"/>
  <c r="D387"/>
  <c r="D384"/>
  <c r="D383"/>
  <c r="D382"/>
  <c r="D380"/>
  <c r="D376"/>
  <c r="D370"/>
  <c r="D369"/>
  <c r="D368"/>
  <c r="D419"/>
  <c r="C419"/>
  <c r="D413"/>
  <c r="C413"/>
  <c r="C404"/>
  <c r="D392"/>
  <c r="C392"/>
  <c r="D391"/>
  <c r="C388"/>
  <c r="D388"/>
  <c r="C385"/>
  <c r="D379"/>
  <c r="D378"/>
  <c r="D377"/>
  <c r="D375"/>
  <c r="D374"/>
  <c r="C372"/>
  <c r="C420" s="1"/>
  <c r="D372"/>
  <c r="C197" i="18"/>
  <c r="C193"/>
  <c r="C190"/>
  <c r="C189"/>
  <c r="C188"/>
  <c r="C187"/>
  <c r="D184"/>
  <c r="D200" s="1"/>
  <c r="D183"/>
  <c r="D182"/>
  <c r="C178"/>
  <c r="C175"/>
  <c r="C174"/>
  <c r="C172"/>
  <c r="H199"/>
  <c r="C177"/>
  <c r="D413" i="14"/>
  <c r="D412"/>
  <c r="D411"/>
  <c r="D409"/>
  <c r="D405"/>
  <c r="D404"/>
  <c r="D403"/>
  <c r="D402"/>
  <c r="D401"/>
  <c r="D400"/>
  <c r="D399"/>
  <c r="D373"/>
  <c r="D371"/>
  <c r="D370"/>
  <c r="D367"/>
  <c r="D366"/>
  <c r="D362"/>
  <c r="D361"/>
  <c r="D360"/>
  <c r="C648" i="29"/>
  <c r="D646"/>
  <c r="C646"/>
  <c r="C645"/>
  <c r="D643"/>
  <c r="C643"/>
  <c r="D642"/>
  <c r="C642"/>
  <c r="C628"/>
  <c r="D611"/>
  <c r="C533"/>
  <c r="C532"/>
  <c r="C652"/>
  <c r="D638"/>
  <c r="C638"/>
  <c r="C611"/>
  <c r="D585"/>
  <c r="C585"/>
  <c r="D559"/>
  <c r="E557"/>
  <c r="E556"/>
  <c r="E555"/>
  <c r="E554"/>
  <c r="E553"/>
  <c r="E552"/>
  <c r="C551"/>
  <c r="E551" s="1"/>
  <c r="E550"/>
  <c r="E549"/>
  <c r="E548"/>
  <c r="E547"/>
  <c r="C546"/>
  <c r="E546" s="1"/>
  <c r="E545"/>
  <c r="E544"/>
  <c r="E543"/>
  <c r="E542"/>
  <c r="E541"/>
  <c r="C540"/>
  <c r="E540" s="1"/>
  <c r="E539"/>
  <c r="E538"/>
  <c r="E537"/>
  <c r="C559"/>
  <c r="E536"/>
  <c r="E535"/>
  <c r="E534"/>
  <c r="E533"/>
  <c r="E532"/>
  <c r="K426" i="14"/>
  <c r="G371"/>
  <c r="G413"/>
  <c r="G411"/>
  <c r="G361"/>
  <c r="G370"/>
  <c r="G366"/>
  <c r="G362"/>
  <c r="G360"/>
  <c r="G410"/>
  <c r="G422" s="1"/>
  <c r="B410"/>
  <c r="J409"/>
  <c r="I408"/>
  <c r="C408"/>
  <c r="J408"/>
  <c r="C407"/>
  <c r="J407"/>
  <c r="C405"/>
  <c r="C404"/>
  <c r="C403"/>
  <c r="C402"/>
  <c r="C401"/>
  <c r="C400"/>
  <c r="D410"/>
  <c r="D422" s="1"/>
  <c r="C399"/>
  <c r="J399"/>
  <c r="D374"/>
  <c r="D372"/>
  <c r="B369"/>
  <c r="C367"/>
  <c r="A366"/>
  <c r="C365"/>
  <c r="D364"/>
  <c r="A364"/>
  <c r="C363"/>
  <c r="A362"/>
  <c r="A361"/>
  <c r="D369"/>
  <c r="A360"/>
  <c r="D358"/>
  <c r="C131" i="18"/>
  <c r="C133"/>
  <c r="C136"/>
  <c r="I177" i="34" l="1"/>
  <c r="D382" i="14"/>
  <c r="C409"/>
  <c r="C369"/>
  <c r="A369"/>
  <c r="D404" i="33"/>
  <c r="D385"/>
  <c r="C200" i="18"/>
  <c r="G200" s="1"/>
  <c r="D423" i="14"/>
  <c r="D426" s="1"/>
  <c r="D652" i="29"/>
  <c r="E559"/>
  <c r="J367" i="14"/>
  <c r="J405"/>
  <c r="G369"/>
  <c r="G382" s="1"/>
  <c r="G425" s="1"/>
  <c r="J401"/>
  <c r="C406"/>
  <c r="A410"/>
  <c r="D321" i="33"/>
  <c r="D313"/>
  <c r="D310"/>
  <c r="D307"/>
  <c r="D306"/>
  <c r="D305"/>
  <c r="D301"/>
  <c r="D302" s="1"/>
  <c r="D294"/>
  <c r="D297"/>
  <c r="D293"/>
  <c r="D292"/>
  <c r="D289"/>
  <c r="D288"/>
  <c r="D286"/>
  <c r="D280"/>
  <c r="D279"/>
  <c r="D278"/>
  <c r="D329"/>
  <c r="C329"/>
  <c r="D323"/>
  <c r="C323"/>
  <c r="C314"/>
  <c r="D308"/>
  <c r="C302"/>
  <c r="D298"/>
  <c r="C298"/>
  <c r="C295"/>
  <c r="D291"/>
  <c r="D290"/>
  <c r="D287"/>
  <c r="D285"/>
  <c r="D284"/>
  <c r="D295" s="1"/>
  <c r="D282"/>
  <c r="C282"/>
  <c r="C330" s="1"/>
  <c r="C149" i="18"/>
  <c r="C138"/>
  <c r="C97"/>
  <c r="D140"/>
  <c r="D273" i="14"/>
  <c r="G273"/>
  <c r="I142" i="34"/>
  <c r="D283" i="14"/>
  <c r="G283"/>
  <c r="C137" i="18"/>
  <c r="D142"/>
  <c r="C502" i="29"/>
  <c r="J410" i="14" l="1"/>
  <c r="C410"/>
  <c r="D420" i="33"/>
  <c r="D314"/>
  <c r="D330" s="1"/>
  <c r="I141" i="34"/>
  <c r="I133"/>
  <c r="I132"/>
  <c r="I130"/>
  <c r="I143"/>
  <c r="I145" s="1"/>
  <c r="I131"/>
  <c r="C155" i="18"/>
  <c r="C151"/>
  <c r="C150"/>
  <c r="C148"/>
  <c r="C147"/>
  <c r="C146"/>
  <c r="H158" s="1"/>
  <c r="C145"/>
  <c r="D141"/>
  <c r="D159" s="1"/>
  <c r="D503" i="29"/>
  <c r="C503"/>
  <c r="D500"/>
  <c r="C499"/>
  <c r="C509" s="1"/>
  <c r="D499"/>
  <c r="D464"/>
  <c r="C407"/>
  <c r="C406"/>
  <c r="C405"/>
  <c r="C404"/>
  <c r="C403"/>
  <c r="C398"/>
  <c r="C396"/>
  <c r="E396" s="1"/>
  <c r="C395"/>
  <c r="C394"/>
  <c r="E394" s="1"/>
  <c r="D509"/>
  <c r="C500"/>
  <c r="D495"/>
  <c r="C495"/>
  <c r="C464"/>
  <c r="D441"/>
  <c r="C441"/>
  <c r="D415"/>
  <c r="E413"/>
  <c r="E412"/>
  <c r="E411"/>
  <c r="E410"/>
  <c r="E409"/>
  <c r="E408"/>
  <c r="E407"/>
  <c r="E406"/>
  <c r="E405"/>
  <c r="E404"/>
  <c r="E403"/>
  <c r="C402"/>
  <c r="E402" s="1"/>
  <c r="E401"/>
  <c r="E400"/>
  <c r="C399"/>
  <c r="E399" s="1"/>
  <c r="E398"/>
  <c r="E397"/>
  <c r="E395"/>
  <c r="C393"/>
  <c r="E393" s="1"/>
  <c r="E392"/>
  <c r="E391"/>
  <c r="E390"/>
  <c r="E389"/>
  <c r="E388"/>
  <c r="D280" i="14"/>
  <c r="D279"/>
  <c r="D277"/>
  <c r="D275"/>
  <c r="D274"/>
  <c r="D282" s="1"/>
  <c r="D295" s="1"/>
  <c r="G279"/>
  <c r="J280" s="1"/>
  <c r="G274"/>
  <c r="D326"/>
  <c r="D325"/>
  <c r="D324"/>
  <c r="D322"/>
  <c r="D318"/>
  <c r="D317"/>
  <c r="D316"/>
  <c r="D315"/>
  <c r="D314"/>
  <c r="D313"/>
  <c r="D312"/>
  <c r="G326"/>
  <c r="G324"/>
  <c r="G323"/>
  <c r="B323"/>
  <c r="J322"/>
  <c r="I321"/>
  <c r="J321"/>
  <c r="C320"/>
  <c r="J320"/>
  <c r="C318"/>
  <c r="C316"/>
  <c r="C315"/>
  <c r="C314"/>
  <c r="C313"/>
  <c r="J312"/>
  <c r="C312"/>
  <c r="D287"/>
  <c r="D285"/>
  <c r="B282"/>
  <c r="C280"/>
  <c r="A279"/>
  <c r="C278"/>
  <c r="A277"/>
  <c r="C276"/>
  <c r="A275"/>
  <c r="A274"/>
  <c r="A273"/>
  <c r="D271"/>
  <c r="D184"/>
  <c r="D97"/>
  <c r="G9"/>
  <c r="D9"/>
  <c r="C52" i="18"/>
  <c r="C50"/>
  <c r="C8"/>
  <c r="C6"/>
  <c r="I135" i="34" l="1"/>
  <c r="A282" i="14"/>
  <c r="D323"/>
  <c r="D335" s="1"/>
  <c r="C319"/>
  <c r="C159" i="18"/>
  <c r="G159" s="1"/>
  <c r="E415" i="29"/>
  <c r="C415"/>
  <c r="A323" i="14"/>
  <c r="G335"/>
  <c r="C282"/>
  <c r="D336"/>
  <c r="D339" s="1"/>
  <c r="G282"/>
  <c r="G295" s="1"/>
  <c r="G336" s="1"/>
  <c r="J318"/>
  <c r="J314"/>
  <c r="C317"/>
  <c r="C321"/>
  <c r="C322"/>
  <c r="G29" i="18"/>
  <c r="J323" i="14" l="1"/>
  <c r="C323"/>
  <c r="C90" i="18"/>
  <c r="C92"/>
  <c r="I101" i="34" l="1"/>
  <c r="I99"/>
  <c r="I89"/>
  <c r="I93" s="1"/>
  <c r="D223" i="33"/>
  <c r="D220"/>
  <c r="D218"/>
  <c r="D217"/>
  <c r="D216"/>
  <c r="D215"/>
  <c r="D202"/>
  <c r="D200"/>
  <c r="D199"/>
  <c r="D198"/>
  <c r="D239"/>
  <c r="C239"/>
  <c r="D233"/>
  <c r="C233"/>
  <c r="D224"/>
  <c r="C224"/>
  <c r="D212"/>
  <c r="C212"/>
  <c r="D208"/>
  <c r="C208"/>
  <c r="C205"/>
  <c r="C240" s="1"/>
  <c r="D204"/>
  <c r="D201"/>
  <c r="D197"/>
  <c r="D195"/>
  <c r="D194"/>
  <c r="D205" s="1"/>
  <c r="D192"/>
  <c r="C192"/>
  <c r="C110" i="18"/>
  <c r="C109"/>
  <c r="C108"/>
  <c r="C107"/>
  <c r="C106"/>
  <c r="C105"/>
  <c r="C104"/>
  <c r="H117" s="1"/>
  <c r="D101"/>
  <c r="D100"/>
  <c r="D99"/>
  <c r="D118"/>
  <c r="D360" i="29"/>
  <c r="C360"/>
  <c r="D357"/>
  <c r="C357"/>
  <c r="D356"/>
  <c r="C356"/>
  <c r="C268"/>
  <c r="E268" s="1"/>
  <c r="C265"/>
  <c r="E265" s="1"/>
  <c r="C263"/>
  <c r="C262"/>
  <c r="C261"/>
  <c r="E261" s="1"/>
  <c r="C260"/>
  <c r="E260" s="1"/>
  <c r="C258"/>
  <c r="C255"/>
  <c r="C254"/>
  <c r="E254" s="1"/>
  <c r="C252"/>
  <c r="E252" s="1"/>
  <c r="C251"/>
  <c r="E251" s="1"/>
  <c r="C250"/>
  <c r="C249"/>
  <c r="C271" s="1"/>
  <c r="D366"/>
  <c r="D352"/>
  <c r="C352"/>
  <c r="D316"/>
  <c r="C316"/>
  <c r="D297"/>
  <c r="C297"/>
  <c r="D271"/>
  <c r="E270"/>
  <c r="E269"/>
  <c r="E267"/>
  <c r="E266"/>
  <c r="E264"/>
  <c r="E263"/>
  <c r="E262"/>
  <c r="E259"/>
  <c r="E258"/>
  <c r="E257"/>
  <c r="E256"/>
  <c r="E255"/>
  <c r="E253"/>
  <c r="E250"/>
  <c r="E248"/>
  <c r="E247"/>
  <c r="E246"/>
  <c r="E245"/>
  <c r="E244"/>
  <c r="D238" i="14"/>
  <c r="D151"/>
  <c r="D65" i="29"/>
  <c r="D239" i="14"/>
  <c r="D237"/>
  <c r="D231"/>
  <c r="D230"/>
  <c r="D229"/>
  <c r="D228"/>
  <c r="D227"/>
  <c r="D226"/>
  <c r="D225"/>
  <c r="D235"/>
  <c r="D148"/>
  <c r="D144"/>
  <c r="D143"/>
  <c r="D142"/>
  <c r="D141"/>
  <c r="D140"/>
  <c r="D139"/>
  <c r="D138"/>
  <c r="D196"/>
  <c r="D192"/>
  <c r="D190"/>
  <c r="D187"/>
  <c r="E249" i="29" l="1"/>
  <c r="E271" s="1"/>
  <c r="D236" i="14"/>
  <c r="I103" i="34"/>
  <c r="D240" i="33"/>
  <c r="C118" i="18"/>
  <c r="G118" s="1"/>
  <c r="C366" i="29"/>
  <c r="D199" i="14" l="1"/>
  <c r="D198"/>
  <c r="D150"/>
  <c r="D112"/>
  <c r="D111"/>
  <c r="G50"/>
  <c r="G239" l="1"/>
  <c r="G237"/>
  <c r="G196"/>
  <c r="G192"/>
  <c r="G187"/>
  <c r="G236"/>
  <c r="B236"/>
  <c r="C235"/>
  <c r="I234"/>
  <c r="C234"/>
  <c r="C233"/>
  <c r="C231"/>
  <c r="C230"/>
  <c r="C229"/>
  <c r="A236"/>
  <c r="C226"/>
  <c r="J225"/>
  <c r="C225"/>
  <c r="B195"/>
  <c r="C193"/>
  <c r="A192"/>
  <c r="C191"/>
  <c r="A190"/>
  <c r="C189"/>
  <c r="C195" s="1"/>
  <c r="A188"/>
  <c r="A187"/>
  <c r="D186"/>
  <c r="A186"/>
  <c r="G150"/>
  <c r="D105"/>
  <c r="D99"/>
  <c r="G105"/>
  <c r="D100"/>
  <c r="G100"/>
  <c r="B108"/>
  <c r="C106"/>
  <c r="A105"/>
  <c r="C104"/>
  <c r="A103"/>
  <c r="C102"/>
  <c r="C108" s="1"/>
  <c r="A101"/>
  <c r="A100"/>
  <c r="A99"/>
  <c r="D211" i="29"/>
  <c r="D214"/>
  <c r="C214"/>
  <c r="D210"/>
  <c r="C210"/>
  <c r="D170"/>
  <c r="D153"/>
  <c r="C170"/>
  <c r="E119"/>
  <c r="E118"/>
  <c r="I51" i="34"/>
  <c r="D149" i="33"/>
  <c r="C149"/>
  <c r="D143"/>
  <c r="C143"/>
  <c r="D134"/>
  <c r="C134"/>
  <c r="D122"/>
  <c r="C122"/>
  <c r="D118"/>
  <c r="C118"/>
  <c r="C115"/>
  <c r="D114"/>
  <c r="D111"/>
  <c r="D107"/>
  <c r="D105"/>
  <c r="D104"/>
  <c r="D115" s="1"/>
  <c r="D102"/>
  <c r="C102"/>
  <c r="C150" s="1"/>
  <c r="D77" i="18"/>
  <c r="C77"/>
  <c r="C33"/>
  <c r="I38" i="34"/>
  <c r="I37"/>
  <c r="I36"/>
  <c r="I23"/>
  <c r="J233" i="14" l="1"/>
  <c r="G248"/>
  <c r="D248"/>
  <c r="J193"/>
  <c r="A108"/>
  <c r="A195"/>
  <c r="G195"/>
  <c r="G208" s="1"/>
  <c r="J231"/>
  <c r="D149"/>
  <c r="D195"/>
  <c r="D208" s="1"/>
  <c r="C232"/>
  <c r="C227"/>
  <c r="C228"/>
  <c r="J234"/>
  <c r="J235"/>
  <c r="J227"/>
  <c r="D108"/>
  <c r="G108"/>
  <c r="D220" i="29"/>
  <c r="C220"/>
  <c r="I61" i="34"/>
  <c r="D150" i="33"/>
  <c r="I39" i="34"/>
  <c r="G251" i="14" l="1"/>
  <c r="D249"/>
  <c r="D252" s="1"/>
  <c r="J236"/>
  <c r="C236"/>
  <c r="A12"/>
  <c r="A13"/>
  <c r="A15"/>
  <c r="A17"/>
  <c r="A11"/>
  <c r="D63"/>
  <c r="D64"/>
  <c r="D62"/>
  <c r="G62"/>
  <c r="D51"/>
  <c r="D52"/>
  <c r="D53"/>
  <c r="D54"/>
  <c r="D55"/>
  <c r="D56"/>
  <c r="D57"/>
  <c r="D58"/>
  <c r="D59"/>
  <c r="D60"/>
  <c r="D50"/>
  <c r="D22"/>
  <c r="D21"/>
  <c r="G17"/>
  <c r="D17" s="1"/>
  <c r="D13"/>
  <c r="D14"/>
  <c r="D15"/>
  <c r="D16"/>
  <c r="D18"/>
  <c r="D19"/>
  <c r="D11"/>
  <c r="G12"/>
  <c r="D12" s="1"/>
  <c r="E103" i="29" l="1"/>
  <c r="E104"/>
  <c r="D206"/>
  <c r="C153"/>
  <c r="D127"/>
  <c r="E126"/>
  <c r="E125"/>
  <c r="E124"/>
  <c r="E123"/>
  <c r="E122"/>
  <c r="E121"/>
  <c r="E120"/>
  <c r="E117"/>
  <c r="E116"/>
  <c r="E115"/>
  <c r="E114"/>
  <c r="E113"/>
  <c r="E112"/>
  <c r="E111"/>
  <c r="E110"/>
  <c r="E109"/>
  <c r="E108"/>
  <c r="E107"/>
  <c r="E106"/>
  <c r="E105"/>
  <c r="E102"/>
  <c r="E101"/>
  <c r="E100"/>
  <c r="B149" i="14"/>
  <c r="J148"/>
  <c r="J147"/>
  <c r="C146"/>
  <c r="C145"/>
  <c r="C144"/>
  <c r="C143"/>
  <c r="C142"/>
  <c r="D161"/>
  <c r="C139"/>
  <c r="J138"/>
  <c r="I147"/>
  <c r="C138"/>
  <c r="G121"/>
  <c r="J106"/>
  <c r="D121"/>
  <c r="J144" l="1"/>
  <c r="A149"/>
  <c r="J146"/>
  <c r="C206" i="29"/>
  <c r="D162" i="14"/>
  <c r="D165" s="1"/>
  <c r="E127" i="29"/>
  <c r="J140" i="14"/>
  <c r="C147"/>
  <c r="C148"/>
  <c r="C140"/>
  <c r="C141"/>
  <c r="G149"/>
  <c r="G161" s="1"/>
  <c r="G164" s="1"/>
  <c r="C149" l="1"/>
  <c r="J149"/>
  <c r="G25" i="18"/>
  <c r="G21"/>
  <c r="E29" i="29"/>
  <c r="E28"/>
  <c r="E27"/>
  <c r="E26"/>
  <c r="E25"/>
  <c r="E24"/>
  <c r="E23"/>
  <c r="E22"/>
  <c r="E21"/>
  <c r="E20"/>
  <c r="E19"/>
  <c r="E18"/>
  <c r="E17"/>
  <c r="E16"/>
  <c r="E15"/>
  <c r="E14"/>
  <c r="E13"/>
  <c r="E12"/>
  <c r="E11"/>
  <c r="E10"/>
  <c r="E9"/>
  <c r="E8"/>
  <c r="E7"/>
  <c r="E6"/>
  <c r="G61" i="14" l="1"/>
  <c r="G73" s="1"/>
  <c r="G11" i="18"/>
  <c r="D17" i="33" l="1"/>
  <c r="D18"/>
  <c r="D21"/>
  <c r="D22"/>
  <c r="J50" i="14"/>
  <c r="D33" i="18" l="1"/>
  <c r="G33" s="1"/>
  <c r="D31" i="29" l="1"/>
  <c r="E30"/>
  <c r="C31"/>
  <c r="B20" i="14" l="1"/>
  <c r="E5" i="29" l="1"/>
  <c r="E4"/>
  <c r="E3"/>
  <c r="E31" l="1"/>
  <c r="B61" i="14" l="1"/>
  <c r="D44" i="33" l="1"/>
  <c r="D59"/>
  <c r="C59"/>
  <c r="C44"/>
  <c r="C25"/>
  <c r="D15"/>
  <c r="D24"/>
  <c r="D20" i="14" l="1"/>
  <c r="D33" s="1"/>
  <c r="D61"/>
  <c r="D73" s="1"/>
  <c r="D74" l="1"/>
  <c r="D77" s="1"/>
  <c r="G20"/>
  <c r="G33" s="1"/>
  <c r="G74" s="1"/>
  <c r="G77" s="1"/>
  <c r="J80" s="1"/>
  <c r="J18"/>
  <c r="G97" l="1"/>
  <c r="I77"/>
  <c r="I59"/>
  <c r="G165" l="1"/>
  <c r="I169" s="1"/>
  <c r="D53" i="33"/>
  <c r="D28"/>
  <c r="D14"/>
  <c r="C53"/>
  <c r="C32"/>
  <c r="C28"/>
  <c r="C12"/>
  <c r="I165" i="14" l="1"/>
  <c r="G184"/>
  <c r="G252" s="1"/>
  <c r="J255" s="1"/>
  <c r="J168"/>
  <c r="C60" i="33"/>
  <c r="D12"/>
  <c r="D25"/>
  <c r="D32"/>
  <c r="I20"/>
  <c r="I252" i="14" l="1"/>
  <c r="G271"/>
  <c r="G339" s="1"/>
  <c r="I21" i="33"/>
  <c r="I345" i="14" l="1"/>
  <c r="G358"/>
  <c r="G426" s="1"/>
  <c r="I339"/>
  <c r="G445" l="1"/>
  <c r="G513" s="1"/>
  <c r="J430"/>
  <c r="J426"/>
  <c r="J513" l="1"/>
  <c r="J517"/>
  <c r="C65" i="29" l="1"/>
  <c r="E80" l="1"/>
  <c r="D80"/>
  <c r="C80"/>
  <c r="D60" i="33" l="1"/>
  <c r="C14" i="14" l="1"/>
  <c r="C16"/>
  <c r="A20"/>
  <c r="C18"/>
  <c r="J59"/>
  <c r="C20" l="1"/>
  <c r="J56" l="1"/>
  <c r="C61"/>
  <c r="A61"/>
  <c r="J60"/>
  <c r="J58"/>
  <c r="J52" l="1"/>
  <c r="J61" s="1"/>
  <c r="C127" i="29" l="1"/>
</calcChain>
</file>

<file path=xl/sharedStrings.xml><?xml version="1.0" encoding="utf-8"?>
<sst xmlns="http://schemas.openxmlformats.org/spreadsheetml/2006/main" count="2658" uniqueCount="367">
  <si>
    <t>รหัสบัญชี</t>
  </si>
  <si>
    <t>ประมาณการ</t>
  </si>
  <si>
    <t>รับจริง</t>
  </si>
  <si>
    <t>ยอดยกมา</t>
  </si>
  <si>
    <t>รายรับ</t>
  </si>
  <si>
    <t>เรียน     นายกองค์การบริหารส่วนตำบลหันห้วยทราย</t>
  </si>
  <si>
    <t>จนถึงปัจจุบัน</t>
  </si>
  <si>
    <t>เกิดขึ้นจริง</t>
  </si>
  <si>
    <t>รายการ</t>
  </si>
  <si>
    <t>ภาษีอากร</t>
  </si>
  <si>
    <t>ค่าธรรมเนียม  ค่าปรับและใบอนุญาต</t>
  </si>
  <si>
    <t>รายได้จากทรัพย์สิน</t>
  </si>
  <si>
    <t>รายได้จากสาธารณูปโภคและการพาณิชย์</t>
  </si>
  <si>
    <t>รายได้เบ็ดเตล็ด</t>
  </si>
  <si>
    <t>รายได้จากทุน</t>
  </si>
  <si>
    <t>ภาษีจัดสรร</t>
  </si>
  <si>
    <t>รหัส</t>
  </si>
  <si>
    <t>บัญชี</t>
  </si>
  <si>
    <t>เดือนนี้</t>
  </si>
  <si>
    <t>เรียน  นายกองค์การบริหารส่วนตำบลหันห้วยทราย</t>
  </si>
  <si>
    <t>องค์การบริหารส่วนตำบลหันห้วยทราย   อำเภอประทาย    จังหวัดนครราชสีมา</t>
  </si>
  <si>
    <t>องค์การบริหารส่วนตำบลหันห้วยทราย   อำเภอประทาย   จังหวัดนครราชสีมา</t>
  </si>
  <si>
    <t>เงินฝากธนาคาร  ธกส.-ออมทรัพย์  368-2-35017-6</t>
  </si>
  <si>
    <t>เงินฝากธนาคาร  ธกส.-ออมทรัพย์  068-2-56212-5</t>
  </si>
  <si>
    <t xml:space="preserve">        2.1 ดอกเบี้ยเงินฝากธนาคาร</t>
  </si>
  <si>
    <t>องค์การบริหารส่วนตำบลหันห้วยทราย  อำเภอประทาย   จังหวัดนครราชสีมา</t>
  </si>
  <si>
    <t>จำนวนเงิน</t>
  </si>
  <si>
    <t>รวมเงินรับฝาก</t>
  </si>
  <si>
    <t xml:space="preserve">งบทดลอง </t>
  </si>
  <si>
    <t>จ่ายขาดเงินสะสม</t>
  </si>
  <si>
    <t>เงินฝากธนาคารกรุงไทย-ออมทรัพย์ 340-1-06449-5</t>
  </si>
  <si>
    <t>รายจ่าย</t>
  </si>
  <si>
    <t>รวมรายจ่าย</t>
  </si>
  <si>
    <t>เดบิต</t>
  </si>
  <si>
    <t>เครดิต</t>
  </si>
  <si>
    <t>เงินสด</t>
  </si>
  <si>
    <t>ค่าครุภัณฑ์</t>
  </si>
  <si>
    <t>ค่าที่ดินและสิ่งก่อสร้าง</t>
  </si>
  <si>
    <t>สูงกว่า</t>
  </si>
  <si>
    <t>เงินทุนสำรองเงินสะสม</t>
  </si>
  <si>
    <t>เงินฝากธนาคารกรุงไทย-ประจำ  340-2-02162-5</t>
  </si>
  <si>
    <t xml:space="preserve">        3.1 ค่าขายแบบแปลน</t>
  </si>
  <si>
    <t>ภาษีโรงเรือนและที่ดิน</t>
  </si>
  <si>
    <t>ภาษีบำรุงท้องที่</t>
  </si>
  <si>
    <t>ภาษีป้าย</t>
  </si>
  <si>
    <t>อากรฆ่าสัตว์</t>
  </si>
  <si>
    <t>ค่าธรรมเนียมเกี่ยวกับควบคุมอาคาร</t>
  </si>
  <si>
    <t>ค่าธรรมเนียมเกี่ยวกับการจดทะเบียนนิติกรรมที่ดิน</t>
  </si>
  <si>
    <t>ภาษีธุรกิจเฉพาะ</t>
  </si>
  <si>
    <t>ภาษีสุรา</t>
  </si>
  <si>
    <t>ภาษีสรรพสามิต</t>
  </si>
  <si>
    <t>ค่าภาคหลวงปิโตรเลี่ยม</t>
  </si>
  <si>
    <t>เงินอุดหนุนทั่วไป</t>
  </si>
  <si>
    <t>ดอกเบี้ยเงินฝากธนาคาร</t>
  </si>
  <si>
    <t>ค่าภาคหลวงแร่</t>
  </si>
  <si>
    <t>ค่าใบอนุญาตเกี่ยวกับการควบคุมอาคาร</t>
  </si>
  <si>
    <t>ค่าใบอนุญาตอื่น ๆ</t>
  </si>
  <si>
    <t>รับเพิ่ม</t>
  </si>
  <si>
    <t>รับ</t>
  </si>
  <si>
    <t>จ่าย</t>
  </si>
  <si>
    <t>หมายเหตุ</t>
  </si>
  <si>
    <t>ภาษีหัก ณ ที่จ่าย</t>
  </si>
  <si>
    <t>เงินมัดจำประกันสัญญา</t>
  </si>
  <si>
    <t>บัญชีค่าใช้สอย - ค่าจ้างเหมาเวรยามฯ</t>
  </si>
  <si>
    <t>ค่าธรรมเนียมจดทะเบียนพาณิชย์</t>
  </si>
  <si>
    <t>ค่าธรรมเนียมค่าปรับผู้กระทำผิดกฎหมายจราจร</t>
  </si>
  <si>
    <t>ภาษีมูลค่าเพิ่ม พรบ.กำหนดแผนฯ</t>
  </si>
  <si>
    <t>ภาษีมูลค่าเพิ่ม  1 ใน 9</t>
  </si>
  <si>
    <r>
      <t>รายรับ</t>
    </r>
    <r>
      <rPr>
        <b/>
        <sz val="14"/>
        <rFont val="TH SarabunPSK"/>
        <family val="2"/>
      </rPr>
      <t xml:space="preserve">  (หมายเหตุ 1)</t>
    </r>
  </si>
  <si>
    <t xml:space="preserve">          รับรองถูกต้อง                                   ตรวจสอบถูกต้อง                                                ตรวจสอบถูกต้อง</t>
  </si>
  <si>
    <t>เงินทุนโครงการเศรษฐกิจชุมชน</t>
  </si>
  <si>
    <t>ลูกหนี้-เงินทุนโครงการเศรษฐกิจชุมชน</t>
  </si>
  <si>
    <t>ค่าธรรมเนียมเกี่ยวกับควบคุมการฆ่าสัตว์และจำหน่ายเนื้อสัตว์</t>
  </si>
  <si>
    <t>ค่าธรรมเนียมเกี่ยวกับใบอนุญาตการขายสุรา</t>
  </si>
  <si>
    <t>ค่าใบอนุญาต (ใบอนุญาตประกอบกิจการที่เป็นอันตรายต่อสุขภาพ)</t>
  </si>
  <si>
    <t>ค่าธรรมเนียมปิด โปรย ติดตั้งแผ่นประกาศ หรือแผ่นปลิวเพื่อการโฆษณา</t>
  </si>
  <si>
    <t>รายได้เบ็ดเตล็ดอื่นๆ</t>
  </si>
  <si>
    <t>ค่าขายแบบแปลน</t>
  </si>
  <si>
    <t>บัญชีค่าใช้สอย - ค่าจ้างเหมาเก็บขยะภายในหมู่บ้าน ม.1-9</t>
  </si>
  <si>
    <t xml:space="preserve">            รับรองถูกต้อง                                                    ตรวจสอบถูกต้อง                                           ตรวจสอบถูกต้อง</t>
  </si>
  <si>
    <t xml:space="preserve">งบกลาง </t>
  </si>
  <si>
    <t>เงินเดือน  (ฝ่ายการเมือง)</t>
  </si>
  <si>
    <t>เงินเดือน  (ฝ่ายประจำ)</t>
  </si>
  <si>
    <t>ค่าตอบแทน</t>
  </si>
  <si>
    <t>ค่าใช้สอย</t>
  </si>
  <si>
    <t>ค่าวัสดุ</t>
  </si>
  <si>
    <t>ค่าสาธารณูปโภค</t>
  </si>
  <si>
    <t xml:space="preserve">เงินสะสม </t>
  </si>
  <si>
    <t>รายจ่ายอื่น</t>
  </si>
  <si>
    <t>เงินอุดหนุน</t>
  </si>
  <si>
    <t>เงินอุดหนุนทั่วไป - เงินสนันสนุนศูนย์พัฒนาเด็กเล็ก</t>
  </si>
  <si>
    <t>เงินฝากธนาคารออมสิน-ประจำ 343660005988</t>
  </si>
  <si>
    <t>รายงาน รับ  -  จ่ายเงิน</t>
  </si>
  <si>
    <t>เงินอุดหนุนระบุ</t>
  </si>
  <si>
    <t>วัตถุประสงค์/</t>
  </si>
  <si>
    <t>เฉพาะกิจ (บาท)</t>
  </si>
  <si>
    <t>(บาท)</t>
  </si>
  <si>
    <t>รวม</t>
  </si>
  <si>
    <t>ที่เกิดขึ้นจริง</t>
  </si>
  <si>
    <t>งบกลาง</t>
  </si>
  <si>
    <t>เงินเดือน (ฝ่ายการเมือง)</t>
  </si>
  <si>
    <t>เงินเดือน (ฝ่ายประจำ)</t>
  </si>
  <si>
    <t>รายจ่ายอื่น ๆ</t>
  </si>
  <si>
    <t>(ต่ำกว่า)</t>
  </si>
  <si>
    <t>ยอดยกไป</t>
  </si>
  <si>
    <t>รายรับจริงประกอบงบทดลองและรายงานรับ - จ่ายเงิน</t>
  </si>
  <si>
    <t xml:space="preserve">           องค์การบริหารส่วนตำบลหันห้วยทราย   อำเภอประทาย   จังหวัดนครราชสีมา           หมายเหตุ 1</t>
  </si>
  <si>
    <t>หมวดภาษีอากร</t>
  </si>
  <si>
    <t>รายได้จัดเก็บเอง</t>
  </si>
  <si>
    <t>หมวดค่าธรรมเนียม ค่าปรับและใบอนุญาต</t>
  </si>
  <si>
    <t>1.  ภาษีโรงเรือนและที่ดิน</t>
  </si>
  <si>
    <t>2.  ภาษีบำรุงท้องที่</t>
  </si>
  <si>
    <t>3.  ภาษีป้าย</t>
  </si>
  <si>
    <t>หมวดรายได้จากทรัพย์สิน</t>
  </si>
  <si>
    <t>หมวดรายได้เบ็ดเตล็ด</t>
  </si>
  <si>
    <t>รายได้ที่รัฐบาลเก็บแล้วจัดสรรให้องค์กรปกครองส่วนท้องถิ่น</t>
  </si>
  <si>
    <t>หมวดภาษีจัดสรร</t>
  </si>
  <si>
    <t>รายได้รัฐบาลอุดหนุนให้องค์กรปกครองส่วนท้องถิ่น</t>
  </si>
  <si>
    <t>หมวดเงินอุดหนุนทั่วไป</t>
  </si>
  <si>
    <t>1.เงินอุดหนุนทั่วไป สำหรับ อปท.ที่มีการบริหารจัดการที่ดี</t>
  </si>
  <si>
    <t>2.เงินอุดหนุนทั่วไป สำหรับ ดำเนินการตามอำนาจหน้าที่และ</t>
  </si>
  <si>
    <t>ภารกิจถ่ายโอนเลือกทำ</t>
  </si>
  <si>
    <t>รายได้ที่รัฐบาลอุดหนุนให้โดยระบุวัตถุประสงค์/เฉพาะกิจ</t>
  </si>
  <si>
    <t>หมวดเงินอุดหนุนระบุวัตถุประสงค์/เฉพาะกิจ</t>
  </si>
  <si>
    <t>การปกครองท้องถิ่น</t>
  </si>
  <si>
    <t>1.เงินอุดระบุวัตถุประสงค์/เฉพาะกิจจากกรมส่งเสริม</t>
  </si>
  <si>
    <t>2.เงินอุดระบุวัตถุประสงค์/เฉพาะกิจจากหน่วยงานอื่น</t>
  </si>
  <si>
    <t>รายละเอียด ประกอบงบทดลองและรายงานรับ - จ่ายเงิน</t>
  </si>
  <si>
    <r>
      <rPr>
        <b/>
        <u/>
        <sz val="16"/>
        <rFont val="TH SarabunPSK"/>
        <family val="2"/>
      </rPr>
      <t xml:space="preserve">รายจ่ายค้างจ่าย </t>
    </r>
    <r>
      <rPr>
        <b/>
        <sz val="16"/>
        <rFont val="TH SarabunPSK"/>
        <family val="2"/>
      </rPr>
      <t xml:space="preserve"> (หมายเหตุ  2)  </t>
    </r>
  </si>
  <si>
    <t>หมวดที่จ่าย</t>
  </si>
  <si>
    <r>
      <rPr>
        <b/>
        <u/>
        <sz val="16"/>
        <rFont val="TH SarabunPSK"/>
        <family val="2"/>
      </rPr>
      <t xml:space="preserve">ฎีกาค้างจ่าย </t>
    </r>
    <r>
      <rPr>
        <b/>
        <sz val="16"/>
        <rFont val="TH SarabunPSK"/>
        <family val="2"/>
      </rPr>
      <t xml:space="preserve"> (หมายเหตุ  3)  </t>
    </r>
  </si>
  <si>
    <r>
      <rPr>
        <b/>
        <u/>
        <sz val="16"/>
        <rFont val="TH SarabunPSK"/>
        <family val="2"/>
      </rPr>
      <t xml:space="preserve">เงินรับฝาก </t>
    </r>
    <r>
      <rPr>
        <b/>
        <sz val="16"/>
        <rFont val="TH SarabunPSK"/>
        <family val="2"/>
      </rPr>
      <t xml:space="preserve"> (หมายเหตุ  4)  </t>
    </r>
  </si>
  <si>
    <t>ภาษีหัก  ณ  ที่จ่าย</t>
  </si>
  <si>
    <t>ประกันสัญญา</t>
  </si>
  <si>
    <t>ส่วนลดในการจัดเก็บภาษีบำรุงท้องที่  6 %</t>
  </si>
  <si>
    <t>เงินอุดหนุนระบุวัตถุประสงค์/เฉพาะกิจ</t>
  </si>
  <si>
    <t>เงินฝากธนาคารออมสิน- เผื่อเรียก   020050761707</t>
  </si>
  <si>
    <t>รายได้จากรัฐบาลค้างรับ</t>
  </si>
  <si>
    <t xml:space="preserve">        3.2 รายได้เบ็ดเตล็ดอื่นๆ</t>
  </si>
  <si>
    <t>1. ภาษีและค่าธรรมเนียมรถยนต์และล้อเลื่อน</t>
  </si>
  <si>
    <t>2. ภาษีมูลค่าเพิ่มตาม พ.ร.บ. กำหนดแผนฯ</t>
  </si>
  <si>
    <t>3. ภาษีมูลค่าเพิ่มตาม พ.ร.บ. จัดสรรรายไดฯ</t>
  </si>
  <si>
    <t>4. ภาษีธุรกิจเฉพาะ</t>
  </si>
  <si>
    <t>5. ภาษีสุรา</t>
  </si>
  <si>
    <t>6. ภาษีสรรพสามิต</t>
  </si>
  <si>
    <t>7. ค่าภาคหลวงแร่</t>
  </si>
  <si>
    <t>8. ค่าภาคหลวงปิโตรเลียม</t>
  </si>
  <si>
    <t>9.  ค่าธรรมเนียมจดทะเบียนสิทธิและนิติกรรมตามประมวลกฏหมายที่ดิน</t>
  </si>
  <si>
    <t>รายจ่ายค้างจ่าย (หมายเหตุ 2)</t>
  </si>
  <si>
    <t>เงินรับฝาก (หมายเหตุ 4)</t>
  </si>
  <si>
    <t>เงินรับฝากเงินรอคืนจังหวัด</t>
  </si>
  <si>
    <t>เงินรับฝากค่ารักษาพยาบาล</t>
  </si>
  <si>
    <t>เงินรับฝากเงินทุนโครงการเศรษฐกิจชุม</t>
  </si>
  <si>
    <t>เงินค้ำประกันซอง</t>
  </si>
  <si>
    <t>เงินรับฝากประกันสังคมหักหน้าฏีกา</t>
  </si>
  <si>
    <t>ส่วนลดในการจัดเก็บภาษีบำรุงท้องที่ 6%</t>
  </si>
  <si>
    <t>ประกันสังคมหักหน้าฏีกา</t>
  </si>
  <si>
    <t>ค่ารักษาพยาบาล</t>
  </si>
  <si>
    <t>ภาษีและค่าธรรมเนียมรถยนต์และล้อเลื่อน</t>
  </si>
  <si>
    <t>รายรับไม่รวมอุดหนุน</t>
  </si>
  <si>
    <t>ค่าธรรมเนียมรับทำการเก็บขนอุจาระหรือสิ่งปฏิกูล</t>
  </si>
  <si>
    <t xml:space="preserve">        ผู้อำนวยการกองคลัง                 ปลัดองค์การบริหารส่วนตำบลหันห้วยทราย               นายกองค์การบริหารส่วนตำบลหันห้วยทราย</t>
  </si>
  <si>
    <t xml:space="preserve"> เงินรับฝาก(หมายเหตุ 2)</t>
  </si>
  <si>
    <t>ค่าใช้สอย - ค่าจ้างเหมาเวรยามฯ</t>
  </si>
  <si>
    <t>ค่าใช้สอย - ค่าจ้างเหมาเก็บขยะภายในหมู่บ้าน ม.1-9</t>
  </si>
  <si>
    <t>รวมเงินรายรับ</t>
  </si>
  <si>
    <t>รวมรายจ่ายค้างจ่าย</t>
  </si>
  <si>
    <t>1. ค่าธรรมเนียมเกี่ยวกับใบอนุญาตการขายสุรา</t>
  </si>
  <si>
    <t>2. ค่าธรรมเนียมเกี่ยวกับใบอนุญาตการพนัน</t>
  </si>
  <si>
    <t>3. ค่าธรรมเนียมเกี่ยวกับการควบคุมอาคาร</t>
  </si>
  <si>
    <t>4. ค่าธรรมเนียมเก็บขนอุจจาระหรือสิ่งปฏิกูล</t>
  </si>
  <si>
    <t>5. ค่าธรรมเนียมปิดแผ่นป้ายประกาศ หรือข้อความฯ</t>
  </si>
  <si>
    <t>6. ค่าธรรมเนียมจดทะเบียนพาณิชย์</t>
  </si>
  <si>
    <t>7. ค่าปรับผู้กระทำผิดกฏหมายจราจรทางบก</t>
  </si>
  <si>
    <t>8. ค่าปรับการผิดสัญญา</t>
  </si>
  <si>
    <t>9. ค่าใบอนุญาประกอบการค้าที่เป็นอันตรายต่อสุขภาพฯ</t>
  </si>
  <si>
    <t>10. ค่าใบอนุญาตเกี่ยวกับการควบคุมอาคาร</t>
  </si>
  <si>
    <t>11. ค่าใบอนุญาตอื่น ๆ</t>
  </si>
  <si>
    <t>เงินรับฝาก - หลักประกันซอง</t>
  </si>
  <si>
    <t>ลูกหนี้เงินยืม</t>
  </si>
  <si>
    <t>รายจ่ายค้างจ่าย (เบิกตัดปี)(หมายเหตุ 2)</t>
  </si>
  <si>
    <t>เงินรับฝาก(หมายเหตุ 4)</t>
  </si>
  <si>
    <t>รายจ่ายอื่น - ค่าจ้างที่ปรึกษาที่ไม่เกี่ยวกับครุภัณฑ์หรือสิ่งก่อสร้างฯ</t>
  </si>
  <si>
    <t>รายรับ (หมายเหตุ 1 )</t>
  </si>
  <si>
    <t>บัญชีรายจ่ายอื่น - ค่าจ้างเหมาที่ปรึกษาที่ไม่เกี่ยวกับครุภัณฑ์และสิ่งก่อสร้างฯ</t>
  </si>
  <si>
    <t>ค่าตอบแทน- เงินประโยชน์ตอบแทนอื่นเป็นกรณีพิเศษสำหรับพนักงานส่วนตำบลและพนักงานจ้าง</t>
  </si>
  <si>
    <t xml:space="preserve">      ผู้อำนวยการกองคลัง                                ปลัดองค์การบริหารส่วนตำบลหันห้วยทราย            นายกองค์การบริหารส่วนตำบลหันห้วยทราย</t>
  </si>
  <si>
    <t xml:space="preserve">         รายรับ                              รายจ่าย</t>
  </si>
  <si>
    <t>ค่าปรับผิดสัญญา</t>
  </si>
  <si>
    <t>รับคืนเงินงบกลาง (เบี้ยยังชีพผู้พิการ,ผู้สูงอายุ)</t>
  </si>
  <si>
    <t xml:space="preserve">  (นางสาวสิริมา    จันคำวงษ์ )                                      ( นางยุวดี    มาตย์นอก )                                 ( นางบุญมี   จันคำวงษ์ )</t>
  </si>
  <si>
    <t xml:space="preserve">   ( นางสาวสิริมา   จันคำวงษ์ )                      ( นางยุวดี    มาตย์นอก )                                  ( นางบุญมี   จันคำวงษ์ )</t>
  </si>
  <si>
    <t>เงินรับฝาก - เงินกองทุนฟื้นฟูสมรรถภาพที่จำเป็นต่อสุขภาพฯ</t>
  </si>
  <si>
    <t>ปีงบประมาณ  2562   ประจำเดือน  ตุลาคม  2561</t>
  </si>
  <si>
    <r>
      <t>หมายเหตุ 1</t>
    </r>
    <r>
      <rPr>
        <sz val="13"/>
        <rFont val="TH SarabunPSK"/>
        <family val="2"/>
      </rPr>
      <t xml:space="preserve"> เงินรายรับ ประกอบประกอบงบรับ - จ่ายเงินสด ณ วันที่  31  ตุลาคม  2561</t>
    </r>
  </si>
  <si>
    <t>ยอดยกมา 1 ต.ค. 61</t>
  </si>
  <si>
    <t>คงเหลือ 31 ต.ค. 61</t>
  </si>
  <si>
    <t xml:space="preserve">                 ผู้ช่วยนักวิชาการคลัง                        ปลัดองค์การบริหารส่วนตำบล                      ผู้อำนวยการกองคลัง</t>
  </si>
  <si>
    <t xml:space="preserve">               (นางสาวสุนิษา  แก้วชมภู)                        (นางยุวดี   มาตย์นอก)                      (นางสาวสิริมา   จันคำวงษ์)</t>
  </si>
  <si>
    <t>หมายเหตุ 2  รายจ่ายค้างจ่าย (เบิกตัดปี) ประกอบงบรับ - จ่ายเงินสด ณ วันที่ 31  ตุลาคม  2561</t>
  </si>
  <si>
    <t>ค่าวัสดุอาหารเสริม(นม)</t>
  </si>
  <si>
    <t>ค่าที่ดินและสิ่งก่อสร้าง- โครงการซ่อมแซมถนนหินคลุก หมู่ 7</t>
  </si>
  <si>
    <t>ค่าที่ดินและสิ่งก่อสร้าง- โครงการซ่อมแซมถนนหินคลุก หมู่ 3</t>
  </si>
  <si>
    <t>ค่าที่ดินและสิ่งก่อสร้าง- โครงการก่อสร้างถนน คสล. หมู่ 1</t>
  </si>
  <si>
    <t>ค่าที่ดินและสิ่งก่อสร้าง- โครงการก่อสร้างถนน คสล. หมู่ 2</t>
  </si>
  <si>
    <t>ค่าที่ดินและสิ่งก่อสร้าง- โครงการก่อสร้างถนน คสล. หมู่ 7</t>
  </si>
  <si>
    <t xml:space="preserve">           -เพื่อตรวจสอบความถูกต้องของรายงานรับ-จ่ายเงินสด  ประจำเดือน   ตุลาคม  2561</t>
  </si>
  <si>
    <t xml:space="preserve"> ณ  วันที่  31  ตุลาคม   2561</t>
  </si>
  <si>
    <t>4.  อากรฆ่าสัตว์</t>
  </si>
  <si>
    <t xml:space="preserve">  ณ วันที่  31  ตุลาคม  2561</t>
  </si>
  <si>
    <t>ค่าที่ดินและสิ่งก่อสร้าง - โครงการก่อสร้างระบบประปาหมู่บ้านฯ (ยกมา ปี 2560)</t>
  </si>
  <si>
    <t xml:space="preserve">ค่าที่ดินและสิ่งก่อสร้าง - โครงการก่อสร้างถนนคอนกรีตเสริมเหล็กบ้านหันห้วยทราย หมู่ 1 </t>
  </si>
  <si>
    <t>ค่าที่ดินและสิ่งก่อสร้าง - โครงการก่อสร้างถนนคอนกรีตเสริมเหล็กบ้านหลุ่งจาน หมู่ 7</t>
  </si>
  <si>
    <t>ค่าที่ดินและสิ่งก่อสร้าง - โครงการก่อสร้างรางระบายน้ำคอนกรีตเสริมเหล็ก บ้านหนองช่องแมว หมู่ 2</t>
  </si>
  <si>
    <t>ค่าที่ดินและสิ่งก่อสร้าง - โครงการซ่อมแซมถนนดินลงหินคลุก บ้านเพ็ดน้อย หมู่ 3</t>
  </si>
  <si>
    <t>ค่าที่ดินและสิ่งก่อสร้าง - โครงการซ่อมแซมถนนดินลงหินคลุก บ้านหลุ่งจาน หมู่ 7</t>
  </si>
  <si>
    <r>
      <t xml:space="preserve">ค่าที่ดินและสิ่งก่อสร้าง - </t>
    </r>
    <r>
      <rPr>
        <sz val="13"/>
        <rFont val="TH SarabunPSK"/>
        <family val="2"/>
      </rPr>
      <t>โครงการก่อสร้างถนนคอนกรีตเสริมเหล็ก บ้านหนองม่วงใหญ่หมู่ 5 ไปบ้านโกรกหิน หมู่ 8</t>
    </r>
  </si>
  <si>
    <t>ค่าที่ดินและสิ่งก่อสร้าง - โครงการก่อสร้างถนนคอนกรีตเสริมเหล็ก บ้านหนองช่องแมว หมู่ 2</t>
  </si>
  <si>
    <t>ค่าที่ดินและสิ่งก่อสร้าง - โครงการก่อสร้างถนนคอนกรีตเสริมเหล็ก ภายในอบต. หันห้วยทราย</t>
  </si>
  <si>
    <t>ค่าที่ดินและสิ่งก่อสร้าง - โครงการก่อสร้างห้องน้ำศูนย์พัฒนาเด็กเล็กบ้านหนองช่องแมว หมู่ 2</t>
  </si>
  <si>
    <t>ค่าที่ดินและสิ่งก่อสร้าง - โครงการปรับปรุงศูนย์พัฒนาเด็กเล็ก อบต. หันห้วยทราย</t>
  </si>
  <si>
    <t>ค่าที่ดินและสิ่งก่อสร้าง - โครงการก่อสร้างถนน ค.ส.ล. ทางเข้าศูนย์พัฒนาเด็กเล็ก อบต. หันห้วยทราย</t>
  </si>
  <si>
    <t>ค่าวัสดุ - วัสดุอาหารเสริม(นม)</t>
  </si>
  <si>
    <t xml:space="preserve"> ณ   วันที่   31  ตุลาคม    2561</t>
  </si>
  <si>
    <t xml:space="preserve">              -เพื่อตรวจสอบความถูกต้องของงบทดลอง ประจำเดือน  ตุลาคม  2561</t>
  </si>
  <si>
    <t>ปีงบประมาณ  2562   ประจำเดือน  พฤศจิกายน  2561</t>
  </si>
  <si>
    <t xml:space="preserve"> ณ   วันที่   30  พฤศจิกายน  2561</t>
  </si>
  <si>
    <t xml:space="preserve"> ณ  วันที่  30  พฤศจิกายน  2561</t>
  </si>
  <si>
    <t xml:space="preserve">  ณ วันที่  30  พฤศจิกายน  2561</t>
  </si>
  <si>
    <r>
      <rPr>
        <b/>
        <u/>
        <sz val="16"/>
        <rFont val="TH SarabunPSK"/>
        <family val="2"/>
      </rPr>
      <t xml:space="preserve">เงินรับฝาก </t>
    </r>
    <r>
      <rPr>
        <b/>
        <sz val="16"/>
        <rFont val="TH SarabunPSK"/>
        <family val="2"/>
      </rPr>
      <t xml:space="preserve"> (หมายเหตุ  3)  </t>
    </r>
  </si>
  <si>
    <t>เงินรับฝาก (หมายเหตุ 3)</t>
  </si>
  <si>
    <r>
      <t>หมายเหตุ 1</t>
    </r>
    <r>
      <rPr>
        <sz val="13"/>
        <rFont val="TH SarabunPSK"/>
        <family val="2"/>
      </rPr>
      <t xml:space="preserve"> เงินรายรับ ประกอบประกอบงบรับ - จ่ายเงินสด ณ วันที่ 1 ตุลาคม - 30  พฤศจิกายน  2561</t>
    </r>
  </si>
  <si>
    <t>ยอดยกมา 1 พ.ย. 61</t>
  </si>
  <si>
    <t>คงเหลือ 30 พ.ย. 61</t>
  </si>
  <si>
    <t>หมายเหตุ 2  รายจ่ายค้างจ่าย (เบิกตัดปี) ประกอบงบรับ - จ่ายเงินสด  ณ วันที่  30  พฤศจิกายน  2561</t>
  </si>
  <si>
    <t>หมายเหตุ 2  รายจ่ายค้างจ่าย (เบิกตัดปี) ประกอบงบรับ - จ่ายเงินสด  ณ วันที่ 1 ตุลาคม - 30  พฤศจิกายน  2561</t>
  </si>
  <si>
    <t>ค่าที่ดินและสิ่งก่อสร้าง - ก่อสร้างรางระบายน้ำคอนกรีตเสริมเหล็ก หมู่ 2</t>
  </si>
  <si>
    <t>ค่าที่ดินและสิ่งก่อสร้าง - ก่อสร้างถนนคอนกรีตเสริมเหล็ก หมู่ 5 ไป หมู่ 8</t>
  </si>
  <si>
    <t>ค่าที่ดินและสิ่งก่อสร้าง - ก่อสร้างถนนคอนกรีตเสริมเหล็ก ทางเข้าศูนย์ฯ อบต.</t>
  </si>
  <si>
    <t>หมายเหตุ 3 เงินรับฝาก ประกอบงบรับ - จ่ายเงินสด ณ วันที่  30  พฤศจิกายน  2561</t>
  </si>
  <si>
    <t>หมายเหตุ 3 เงินรับฝาก ประกอบงบรับ - จ่ายเงินสด ณ วันที่ 1 ตุลาคม - 30  พฤศจิกายน  2561</t>
  </si>
  <si>
    <t>เงินรับฝาก(หมายเหตุ 3)</t>
  </si>
  <si>
    <t xml:space="preserve">           -เพื่อตรวจสอบความถูกต้องของรายงานรับ-จ่ายเงินสด  ประจำเดือน   พฤศจิกายน  2561</t>
  </si>
  <si>
    <t xml:space="preserve">              -เพื่อตรวจสอบความถูกต้องของงบทดลอง ประจำเดือน  พฤศจิกายน  2561</t>
  </si>
  <si>
    <t>ปีงบประมาณ  2562   ประจำเดือน  ธันวาคม  2561</t>
  </si>
  <si>
    <t xml:space="preserve">           -เพื่อตรวจสอบความถูกต้องของรายงานรับ-จ่ายเงินสด  ประจำเดือน   ธันวาคม  2561</t>
  </si>
  <si>
    <t>41100000</t>
  </si>
  <si>
    <t>41200000</t>
  </si>
  <si>
    <t>41300000</t>
  </si>
  <si>
    <t>41400000</t>
  </si>
  <si>
    <t>41500000</t>
  </si>
  <si>
    <t>41600000</t>
  </si>
  <si>
    <t>42100000</t>
  </si>
  <si>
    <t>43100002</t>
  </si>
  <si>
    <t>21040000</t>
  </si>
  <si>
    <t>11042000</t>
  </si>
  <si>
    <t>11041000</t>
  </si>
  <si>
    <t>รับคืนเงินงบกลาง(เบี้ยยังชีพผู้พิการ,ผู้สูงอายุ)</t>
  </si>
  <si>
    <t>51100000</t>
  </si>
  <si>
    <t>52100000</t>
  </si>
  <si>
    <t>52200000</t>
  </si>
  <si>
    <t>53100000</t>
  </si>
  <si>
    <t>53200000</t>
  </si>
  <si>
    <t>53300000</t>
  </si>
  <si>
    <t>53400000</t>
  </si>
  <si>
    <t>54100000</t>
  </si>
  <si>
    <t>54200000</t>
  </si>
  <si>
    <t>55100000</t>
  </si>
  <si>
    <t>56100000</t>
  </si>
  <si>
    <t xml:space="preserve">               (นางสาวดวงแก้ว  มุยเฮบัว)                        (นางยุวดี   มาตย์นอก)                      (นางสาวสิริมา   จันคำวงษ์)</t>
  </si>
  <si>
    <t xml:space="preserve">              นักวิชาการคลังชำนาญการ                        ปลัดองค์การบริหารส่วนตำบล                      ผู้อำนวยการกองคลัง</t>
  </si>
  <si>
    <t>และพนักงานจ้าง</t>
  </si>
  <si>
    <t>ค่าตอบแทน เงินประโยชน์ตอบแทนอื่นเป็นกรณีพิเศษสำหรับพนักงานส่วนตำบล</t>
  </si>
  <si>
    <t>หมายเหตุ 3 เงินรับฝาก ประกอบงบรับ - จ่ายเงินสด ณ วันที่ 31 ตุลาคม  2561</t>
  </si>
  <si>
    <r>
      <t>หมายเหตุ 1</t>
    </r>
    <r>
      <rPr>
        <sz val="13"/>
        <rFont val="TH SarabunPSK"/>
        <family val="2"/>
      </rPr>
      <t xml:space="preserve"> เงินรายรับ ประกอบประกอบงบรับ - จ่ายเงินสด ณ วันที่ 1 ตุลาคม - 31  ธันวาคม  2561</t>
    </r>
  </si>
  <si>
    <t>ยอดยกมา 1 ธ.ค. 61</t>
  </si>
  <si>
    <t>คงเหลือ 31 ธ.ค. 61</t>
  </si>
  <si>
    <t>หมายเหตุ 2  รายจ่ายค้างจ่าย (เบิกตัดปี) ประกอบงบรับ - จ่ายเงินสด  ณ วันที่  31 ธันวาคม  2561</t>
  </si>
  <si>
    <t>หมายเหตุ 2  รายจ่ายค้างจ่าย (เบิกตัดปี) ประกอบงบรับ - จ่ายเงินสด  ณ วันที่ 1 ตุลาคม - 31 ธันวาคม  2561</t>
  </si>
  <si>
    <t>หมายเหตุ 3 เงินรับฝาก ประกอบงบรับ - จ่ายเงินสด ณ วันที่ 31 ธันวาคม  2561</t>
  </si>
  <si>
    <t>หมายเหตุ 3 เงินรับฝาก ประกอบงบรับ - จ่ายเงินสด ณ วันที่ 1 ตุลาคม - 31 ธันวาคม  2561</t>
  </si>
  <si>
    <t xml:space="preserve">               (นางสาวดวงแก้ว   มุยเฮบัว)                        (นางยุวดี   มาตย์นอก)                      (นางสาวสิริมา   จันคำวงษ์)</t>
  </si>
  <si>
    <t xml:space="preserve">                 นักวิชาการคลังชำนาญการ                     ปลัดองค์การบริหารส่วนตำบล                      ผู้อำนวยการกองคลัง</t>
  </si>
  <si>
    <t xml:space="preserve">               นักวิชาการคลังชำนาญการ                        ปลัดองค์การบริหารส่วนตำบล                      ผู้อำนวยการกองคลัง</t>
  </si>
  <si>
    <t xml:space="preserve"> ณ   วันที่   31  ธันวาคม  2561</t>
  </si>
  <si>
    <t>ลูกหนี้เงินยืมเงินงบประมาณ</t>
  </si>
  <si>
    <t xml:space="preserve">              -เพื่อตรวจสอบความถูกต้องของงบทดลอง ประจำเดือน  ธันวาคม  2561</t>
  </si>
  <si>
    <t xml:space="preserve"> ณ  วันที่  31  ธันวาคม  2561</t>
  </si>
  <si>
    <t xml:space="preserve">  ณ วันที่  31  ธันวาคม  2561</t>
  </si>
  <si>
    <t>ปีงบประมาณ  2562   ประจำเดือน  มกราคม  2562</t>
  </si>
  <si>
    <t xml:space="preserve">           -เพื่อตรวจสอบความถูกต้องของรายงานรับ-จ่ายเงินสด  ประจำเดือน   มกราคม  2562</t>
  </si>
  <si>
    <t>ลูกหนี้เงินยืม - ค่าใช้สอย</t>
  </si>
  <si>
    <r>
      <t>หมายเหตุ 1</t>
    </r>
    <r>
      <rPr>
        <sz val="13"/>
        <rFont val="TH SarabunPSK"/>
        <family val="2"/>
      </rPr>
      <t xml:space="preserve"> เงินรายรับ ประกอบประกอบงบรับ - จ่ายเงินสด ณ วันที่ 1 ตุลาคม - 31  มกราคม  2562</t>
    </r>
  </si>
  <si>
    <t>ยอดยกมา 1 ม.ค. 62</t>
  </si>
  <si>
    <t>คงเหลือ 31 ม.ค. 62</t>
  </si>
  <si>
    <t>หมายเหตุ 2  รายจ่ายค้างจ่าย (เบิกตัดปี) ประกอบงบรับ - จ่ายเงินสด  ณ วันที่  31 มกราคม 2562</t>
  </si>
  <si>
    <t>ค่าที่ดินและสิ่งก่อสร้าง- โครงการก่อสร้างถนนคอนกรีตเสริมเหล็กภายใน อบต.</t>
  </si>
  <si>
    <t>หันห้วยทราย</t>
  </si>
  <si>
    <t>ค่าที่ดินและสิ่งก่อสร้าง- โครงการก่อสร้างประปาหมู่บ้านแบบผิวดินขนาดใหญ่</t>
  </si>
  <si>
    <t>บ้านดอนกลอย ม. 6</t>
  </si>
  <si>
    <t xml:space="preserve"> ณ   วันที่   31  มกราคม  2562</t>
  </si>
  <si>
    <t xml:space="preserve">  ณ วันที่  31  มกราคม  2562</t>
  </si>
  <si>
    <t xml:space="preserve"> ณ  วันที่  31  มกราคม  2562</t>
  </si>
  <si>
    <t xml:space="preserve">              -เพื่อตรวจสอบความถูกต้องของงบทดลอง ประจำเดือน  มกราคม  2562</t>
  </si>
  <si>
    <t>หมายเหตุ 3 เงินรับฝาก ประกอบงบรับ - จ่ายเงินสด ณ วันที่ 31 มกราคม  2562</t>
  </si>
  <si>
    <t>หมายเหตุ 3 เงินรับฝาก ประกอบงบรับ - จ่ายเงินสด ณ วันที่ 1 ตุลาคม - 31 มกราคม  2562</t>
  </si>
  <si>
    <t>ปีงบประมาณ  2562   ประจำเดือน  กุมภาพันธ์  2562</t>
  </si>
  <si>
    <t xml:space="preserve">           -เพื่อตรวจสอบความถูกต้องของรายงานรับ-จ่ายเงินสด  ประจำเดือน   กุมภาพันธ์  2562</t>
  </si>
  <si>
    <r>
      <t>หมายเหตุ 1</t>
    </r>
    <r>
      <rPr>
        <sz val="13"/>
        <rFont val="TH SarabunPSK"/>
        <family val="2"/>
      </rPr>
      <t xml:space="preserve"> เงินรายรับ ประกอบประกอบงบรับ - จ่ายเงินสด ณ วันที่ 1 ตุลาคม - 28  กุมภาพันธ์  2562</t>
    </r>
  </si>
  <si>
    <t>ยอดยกมา 1 ก.พ. 62</t>
  </si>
  <si>
    <t>คงเหลือ 28 ก.พ. 62</t>
  </si>
  <si>
    <t>หมายเหตุ 2  รายจ่ายค้างจ่าย (เบิกตัดปี) ประกอบงบรับ - จ่ายเงินสด  ณ วันที่  28  กุมภาพันธ์  2562</t>
  </si>
  <si>
    <t>ค่าที่ดินและสิ่งก่อสร้าง- โครงการซ่อมแซมปรับปรุงศูนย์พัฒนาเด็กเล็กอบต.</t>
  </si>
  <si>
    <t>หมายเหตุ 3 เงินรับฝาก ประกอบงบรับ - จ่ายเงินสด ณ วันที่ 28  กุมภาพันธ์  2562</t>
  </si>
  <si>
    <t xml:space="preserve"> ณ   วันที่   28  กุมภาพันธ์  2562</t>
  </si>
  <si>
    <t xml:space="preserve">              -เพื่อตรวจสอบความถูกต้องของงบทดลอง ประจำเดือน  กุมภาพันธ์  2562</t>
  </si>
  <si>
    <t xml:space="preserve">  ณ วันที่  28  กุมภาพันธ์  2562</t>
  </si>
  <si>
    <t>ภาษีหัก  ณ  ที่จ่าย (ภาษีเงินได้ฯ)</t>
  </si>
  <si>
    <t>ลูกหนี้เงินยืมเงินสะสม</t>
  </si>
  <si>
    <t>11047000</t>
  </si>
  <si>
    <t xml:space="preserve"> ณ  วันที่  28  กุมภาพันธ์  2562</t>
  </si>
  <si>
    <t>ปีงบประมาณ  2562   ประจำเดือน  มีนาคม  2562</t>
  </si>
  <si>
    <t xml:space="preserve">           -เพื่อตรวจสอบความถูกต้องของรายงานรับ-จ่ายเงินสด  ประจำเดือน   มีนาคม  2562</t>
  </si>
  <si>
    <r>
      <t>หมายเหตุ 1</t>
    </r>
    <r>
      <rPr>
        <sz val="13"/>
        <rFont val="TH SarabunPSK"/>
        <family val="2"/>
      </rPr>
      <t xml:space="preserve"> เงินรายรับ ประกอบประกอบงบรับ - จ่ายเงินสด ณ วันที่ 1 ตุลาคม - -31  มีนาคม  2562</t>
    </r>
  </si>
  <si>
    <t>ยอดยกมา 1 มี.ค. 62</t>
  </si>
  <si>
    <t>คงเหลือ -31 มี.ค. 62</t>
  </si>
  <si>
    <t>หมายเหตุ 2  รายจ่ายค้างจ่าย (เบิกตัดปี) ประกอบงบรับ - จ่ายเงินสด  ณ วันที่  31  มีนาคม  2562</t>
  </si>
  <si>
    <t>หมายเหตุ 2  รายจ่ายค้างจ่าย (เบิกตัดปี) ประกอบงบรับ - จ่ายเงินสด  ณ วันที่ 1 ตุลาคม - 31  มีนาคม  2562</t>
  </si>
  <si>
    <t>หมายเหตุ 3 เงินรับฝาก ประกอบงบรับ - จ่ายเงินสด ณ วันที่ 31  มีนาคม  2562</t>
  </si>
  <si>
    <t>หมายเหตุ 3 เงินรับฝาก ประกอบงบรับ - จ่ายเงินสด ณ วันที่ 1 ตุลาคม - 31  มีนาคม  2562</t>
  </si>
  <si>
    <t>บ้านหนองช่องแมว หมู่ 3</t>
  </si>
  <si>
    <t>ค่าที่ดินและสิ่งก่อสร้าง - โครงการก่อสร้างห้องน้ำศูนย์พัฒนาเด็กเล็ก</t>
  </si>
  <si>
    <t>เงินรับฝากเงินกยศ</t>
  </si>
  <si>
    <t xml:space="preserve"> ณ   วันที่   31  มีนาคม  2562</t>
  </si>
  <si>
    <t xml:space="preserve">              -เพื่อตรวจสอบความถูกต้องของงบทดลอง ประจำเดือน  มีนาคม  2562</t>
  </si>
  <si>
    <t xml:space="preserve"> ณ  วันที่ 31  มีนาคม  2562</t>
  </si>
  <si>
    <t xml:space="preserve">  ณ วันที่  31  มีนาคม  2562</t>
  </si>
  <si>
    <t>ปีงบประมาณ  2562   ประจำเดือน  เมษายน  2562</t>
  </si>
  <si>
    <t>เงินอุดหนุนเฉพาะกิจ</t>
  </si>
  <si>
    <t>44100001</t>
  </si>
  <si>
    <t>31000000</t>
  </si>
  <si>
    <t xml:space="preserve">           -เพื่อตรวจสอบความถูกต้องของรายงานรับ-จ่ายเงินสด  ประจำเดือน  เมษายน  2562</t>
  </si>
  <si>
    <t>หมายเหตุ 3 เงินรับฝาก ประกอบงบรับ - จ่ายเงินสด ณ วันที่ 1 ตุลาคม - 28  กุมภาพันธ์  2562</t>
  </si>
  <si>
    <r>
      <t>หมายเหตุ 1</t>
    </r>
    <r>
      <rPr>
        <sz val="13"/>
        <rFont val="TH SarabunPSK"/>
        <family val="2"/>
      </rPr>
      <t xml:space="preserve"> เงินรายรับ ประกอบประกอบงบรับ - จ่ายเงินสด ณ วันที่ 1 ตุลาคม - -30  เมษายน  2562</t>
    </r>
  </si>
  <si>
    <t>ยอดยกมา 1 เม.ย. 62</t>
  </si>
  <si>
    <t>คงเหลือ -30  เม.ย. 62</t>
  </si>
  <si>
    <t>หมายเหตุ 2  รายจ่ายค้างจ่าย (เบิกตัดปี) ประกอบงบรับ - จ่ายเงินสด  ณ วันที่  30 เมษายน  2562</t>
  </si>
  <si>
    <t>หมายเหตุ 2  รายจ่ายค้างจ่าย (เบิกตัดปี) ประกอบงบรับ - จ่ายเงินสด  ณ วันที่ 1 ตุลาคม - 30 เมษายน  2562</t>
  </si>
  <si>
    <t>หมายเหตุ 3 เงินรับฝาก ประกอบงบรับ - จ่ายเงินสด ณ วันที่ 30 เมษายน  2562</t>
  </si>
  <si>
    <t>หมายเหตุ 3 เงินรับฝาก ประกอบงบรับ - จ่ายเงินสด ณ วันที่ 1 ตุลาคม - 30 เมษายน  2562</t>
  </si>
  <si>
    <t xml:space="preserve"> ณ   วันที่   30  เมษายน  2562</t>
  </si>
  <si>
    <t xml:space="preserve">              -เพื่อตรวจสอบความถูกต้องของงบทดลอง ประจำเดือน  เมษายน  2562</t>
  </si>
  <si>
    <t xml:space="preserve"> ณ  วันที่  30  เมษายน  2562</t>
  </si>
  <si>
    <t xml:space="preserve">  ณ วันที่  30 เมษายน  2562</t>
  </si>
  <si>
    <t>ปีงบประมาณ  2562   ประจำเดือน  พฤษภาคม  2562</t>
  </si>
  <si>
    <t xml:space="preserve">           -เพื่อตรวจสอบความถูกต้องของรายงานรับ-จ่ายเงินสด  ประจำเดือน  พฤษภาคม  2562</t>
  </si>
  <si>
    <r>
      <t>หมายเหตุ 1</t>
    </r>
    <r>
      <rPr>
        <sz val="13"/>
        <rFont val="TH SarabunPSK"/>
        <family val="2"/>
      </rPr>
      <t xml:space="preserve"> เงินรายรับ ประกอบประกอบงบรับ - จ่ายเงินสด ณ วันที่ 1 ตุลาคม - -31 พฤษภาคม  2562</t>
    </r>
  </si>
  <si>
    <t>ยอดยกมา 1 พ.ค. 62</t>
  </si>
  <si>
    <t>คงเหลือ -31  พ.ค. 62</t>
  </si>
  <si>
    <t>หมายเหตุ 2  รายจ่ายค้างจ่าย (เบิกตัดปี) ประกอบงบรับ - จ่ายเงินสด  ณ วันที่  31 พฤษภาคม  2562</t>
  </si>
  <si>
    <t>หมายเหตุ 2  รายจ่ายค้างจ่าย (เบิกตัดปี) ประกอบงบรับ - จ่ายเงินสด  ณ วันที่ 1 ตุลาคม - 31 พฤษภาคม  2562</t>
  </si>
  <si>
    <t>หมายเหตุ 3 เงินรับฝาก ประกอบงบรับ - จ่ายเงินสด ณ วันที่ 31 พฤษภาคม  2562</t>
  </si>
  <si>
    <t>หมายเหตุ 3 เงินรับฝาก ประกอบงบรับ - จ่ายเงินสด ณ วันที่ 1 ตุลาคม - 31 พฤษภาคม  2562</t>
  </si>
  <si>
    <t xml:space="preserve"> ณ   วันที่   31  พฤษภาคม  2562</t>
  </si>
  <si>
    <t xml:space="preserve"> ณ  วันที่  31  พฤษภาคม  2562</t>
  </si>
  <si>
    <t xml:space="preserve">  ณ วันที่  31 พฤษภาคม  2562</t>
  </si>
  <si>
    <t xml:space="preserve">              -เพื่อตรวจสอบความถูกต้องของงบทดลอง ประจำเดือน  พฤษภาคม  2562</t>
  </si>
</sst>
</file>

<file path=xl/styles.xml><?xml version="1.0" encoding="utf-8"?>
<styleSheet xmlns="http://schemas.openxmlformats.org/spreadsheetml/2006/main">
  <numFmts count="1">
    <numFmt numFmtId="43" formatCode="_-* #,##0.00_-;\-* #,##0.00_-;_-* &quot;-&quot;??_-;_-@_-"/>
  </numFmts>
  <fonts count="26">
    <font>
      <sz val="14"/>
      <name val="Cordia New"/>
      <charset val="222"/>
    </font>
    <font>
      <sz val="14"/>
      <name val="Cordia New"/>
      <family val="2"/>
    </font>
    <font>
      <sz val="14"/>
      <name val="Angsana New"/>
      <family val="1"/>
      <charset val="222"/>
    </font>
    <font>
      <sz val="14"/>
      <color indexed="8"/>
      <name val="Angsana New"/>
      <family val="1"/>
    </font>
    <font>
      <sz val="8"/>
      <name val="Cordia New"/>
      <family val="2"/>
    </font>
    <font>
      <sz val="16"/>
      <name val="TH SarabunPSK"/>
      <family val="2"/>
    </font>
    <font>
      <b/>
      <sz val="14"/>
      <name val="TH SarabunPSK"/>
      <family val="2"/>
    </font>
    <font>
      <sz val="14"/>
      <name val="TH SarabunPSK"/>
      <family val="2"/>
    </font>
    <font>
      <b/>
      <sz val="14"/>
      <color indexed="8"/>
      <name val="TH SarabunPSK"/>
      <family val="2"/>
    </font>
    <font>
      <sz val="14"/>
      <color indexed="8"/>
      <name val="TH SarabunPSK"/>
      <family val="2"/>
    </font>
    <font>
      <b/>
      <u/>
      <sz val="14"/>
      <name val="TH SarabunPSK"/>
      <family val="2"/>
    </font>
    <font>
      <sz val="12"/>
      <name val="TH SarabunPSK"/>
      <family val="2"/>
    </font>
    <font>
      <sz val="13"/>
      <name val="TH SarabunPSK"/>
      <family val="2"/>
    </font>
    <font>
      <b/>
      <sz val="12"/>
      <name val="TH SarabunPSK"/>
      <family val="2"/>
    </font>
    <font>
      <b/>
      <sz val="13"/>
      <name val="TH SarabunPSK"/>
      <family val="2"/>
    </font>
    <font>
      <b/>
      <sz val="16"/>
      <name val="TH SarabunPSK"/>
      <family val="2"/>
    </font>
    <font>
      <sz val="16"/>
      <color indexed="8"/>
      <name val="TH SarabunPSK"/>
      <family val="2"/>
    </font>
    <font>
      <sz val="14"/>
      <color theme="1"/>
      <name val="TH SarabunPSK"/>
      <family val="2"/>
    </font>
    <font>
      <b/>
      <sz val="14"/>
      <color theme="1"/>
      <name val="TH SarabunPSK"/>
      <family val="2"/>
    </font>
    <font>
      <b/>
      <u/>
      <sz val="16"/>
      <name val="TH SarabunPSK"/>
      <family val="2"/>
    </font>
    <font>
      <sz val="13"/>
      <color indexed="8"/>
      <name val="TH SarabunPSK"/>
      <family val="2"/>
    </font>
    <font>
      <b/>
      <sz val="13"/>
      <color indexed="8"/>
      <name val="TH SarabunPSK"/>
      <family val="2"/>
    </font>
    <font>
      <sz val="14"/>
      <color rgb="FFFF0000"/>
      <name val="TH SarabunPSK"/>
      <family val="2"/>
    </font>
    <font>
      <sz val="14"/>
      <color indexed="10"/>
      <name val="TH SarabunPSK"/>
      <family val="2"/>
    </font>
    <font>
      <u/>
      <sz val="13"/>
      <name val="TH SarabunPSK"/>
      <family val="2"/>
    </font>
    <font>
      <sz val="14"/>
      <color rgb="FFFF0000"/>
      <name val="Angsana New"/>
      <family val="1"/>
      <charset val="222"/>
    </font>
  </fonts>
  <fills count="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10">
    <xf numFmtId="0" fontId="0" fillId="0" borderId="0" xfId="0"/>
    <xf numFmtId="0" fontId="5" fillId="0" borderId="0" xfId="0" applyFont="1"/>
    <xf numFmtId="0" fontId="7" fillId="0" borderId="0" xfId="0" applyFont="1"/>
    <xf numFmtId="43" fontId="7" fillId="0" borderId="0" xfId="1" applyFont="1"/>
    <xf numFmtId="0" fontId="6" fillId="0" borderId="5" xfId="0" applyFont="1" applyBorder="1" applyAlignment="1">
      <alignment horizontal="center"/>
    </xf>
    <xf numFmtId="49" fontId="6" fillId="0" borderId="5" xfId="0" applyNumberFormat="1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6" fillId="0" borderId="1" xfId="0" applyFont="1" applyBorder="1"/>
    <xf numFmtId="49" fontId="6" fillId="0" borderId="1" xfId="0" applyNumberFormat="1" applyFont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8" fillId="0" borderId="7" xfId="0" applyFont="1" applyBorder="1" applyAlignment="1">
      <alignment horizontal="center"/>
    </xf>
    <xf numFmtId="0" fontId="6" fillId="0" borderId="7" xfId="0" applyFont="1" applyBorder="1"/>
    <xf numFmtId="49" fontId="6" fillId="0" borderId="7" xfId="0" applyNumberFormat="1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11" xfId="0" applyFont="1" applyBorder="1"/>
    <xf numFmtId="0" fontId="7" fillId="0" borderId="11" xfId="0" applyFont="1" applyBorder="1"/>
    <xf numFmtId="0" fontId="10" fillId="0" borderId="11" xfId="0" applyFont="1" applyBorder="1"/>
    <xf numFmtId="49" fontId="7" fillId="0" borderId="11" xfId="0" applyNumberFormat="1" applyFont="1" applyBorder="1" applyAlignment="1">
      <alignment horizontal="center"/>
    </xf>
    <xf numFmtId="43" fontId="7" fillId="0" borderId="0" xfId="0" applyNumberFormat="1" applyFont="1"/>
    <xf numFmtId="43" fontId="9" fillId="0" borderId="1" xfId="1" applyFont="1" applyBorder="1"/>
    <xf numFmtId="49" fontId="7" fillId="0" borderId="1" xfId="0" applyNumberFormat="1" applyFont="1" applyBorder="1" applyAlignment="1">
      <alignment horizontal="center"/>
    </xf>
    <xf numFmtId="0" fontId="7" fillId="0" borderId="1" xfId="0" applyFont="1" applyBorder="1"/>
    <xf numFmtId="0" fontId="9" fillId="0" borderId="17" xfId="0" applyFont="1" applyBorder="1"/>
    <xf numFmtId="43" fontId="7" fillId="0" borderId="14" xfId="1" applyFont="1" applyBorder="1"/>
    <xf numFmtId="43" fontId="9" fillId="0" borderId="16" xfId="1" applyFont="1" applyBorder="1"/>
    <xf numFmtId="0" fontId="7" fillId="0" borderId="11" xfId="0" applyFont="1" applyBorder="1" applyAlignment="1">
      <alignment horizontal="center"/>
    </xf>
    <xf numFmtId="43" fontId="7" fillId="0" borderId="11" xfId="1" applyFont="1" applyBorder="1"/>
    <xf numFmtId="49" fontId="7" fillId="0" borderId="16" xfId="0" applyNumberFormat="1" applyFont="1" applyBorder="1" applyAlignment="1">
      <alignment horizontal="center"/>
    </xf>
    <xf numFmtId="0" fontId="7" fillId="0" borderId="16" xfId="0" applyFont="1" applyBorder="1"/>
    <xf numFmtId="0" fontId="6" fillId="0" borderId="1" xfId="0" applyFont="1" applyBorder="1" applyAlignment="1">
      <alignment horizontal="center"/>
    </xf>
    <xf numFmtId="43" fontId="7" fillId="0" borderId="0" xfId="1" applyFont="1" applyBorder="1"/>
    <xf numFmtId="0" fontId="7" fillId="0" borderId="0" xfId="0" applyFont="1" applyBorder="1"/>
    <xf numFmtId="43" fontId="9" fillId="0" borderId="11" xfId="1" applyFont="1" applyBorder="1"/>
    <xf numFmtId="43" fontId="7" fillId="0" borderId="1" xfId="1" applyFont="1" applyBorder="1"/>
    <xf numFmtId="43" fontId="6" fillId="0" borderId="8" xfId="1" applyFont="1" applyBorder="1"/>
    <xf numFmtId="43" fontId="7" fillId="0" borderId="1" xfId="0" applyNumberFormat="1" applyFont="1" applyBorder="1"/>
    <xf numFmtId="43" fontId="12" fillId="0" borderId="0" xfId="1" applyFont="1" applyBorder="1"/>
    <xf numFmtId="43" fontId="12" fillId="0" borderId="11" xfId="1" applyFont="1" applyBorder="1"/>
    <xf numFmtId="0" fontId="12" fillId="0" borderId="11" xfId="0" applyFont="1" applyBorder="1"/>
    <xf numFmtId="43" fontId="12" fillId="0" borderId="14" xfId="1" applyFont="1" applyBorder="1"/>
    <xf numFmtId="43" fontId="9" fillId="0" borderId="12" xfId="1" applyFont="1" applyBorder="1"/>
    <xf numFmtId="0" fontId="9" fillId="0" borderId="0" xfId="0" applyFont="1"/>
    <xf numFmtId="43" fontId="9" fillId="0" borderId="0" xfId="1" applyFont="1" applyBorder="1"/>
    <xf numFmtId="0" fontId="12" fillId="0" borderId="1" xfId="0" applyFont="1" applyBorder="1"/>
    <xf numFmtId="43" fontId="5" fillId="0" borderId="0" xfId="1" applyFont="1"/>
    <xf numFmtId="43" fontId="5" fillId="0" borderId="29" xfId="1" applyFont="1" applyBorder="1"/>
    <xf numFmtId="0" fontId="5" fillId="0" borderId="0" xfId="0" applyFont="1" applyBorder="1"/>
    <xf numFmtId="43" fontId="5" fillId="0" borderId="0" xfId="1" applyFont="1" applyBorder="1"/>
    <xf numFmtId="0" fontId="15" fillId="0" borderId="0" xfId="0" applyFont="1" applyBorder="1"/>
    <xf numFmtId="43" fontId="15" fillId="0" borderId="0" xfId="1" applyFont="1" applyBorder="1"/>
    <xf numFmtId="0" fontId="15" fillId="0" borderId="0" xfId="0" applyFont="1" applyBorder="1" applyAlignment="1">
      <alignment horizontal="center"/>
    </xf>
    <xf numFmtId="0" fontId="5" fillId="0" borderId="0" xfId="0" applyFont="1" applyBorder="1" applyAlignment="1">
      <alignment horizontal="left"/>
    </xf>
    <xf numFmtId="43" fontId="15" fillId="0" borderId="0" xfId="1" applyFont="1"/>
    <xf numFmtId="0" fontId="15" fillId="0" borderId="27" xfId="0" applyFont="1" applyBorder="1" applyAlignment="1">
      <alignment horizontal="center"/>
    </xf>
    <xf numFmtId="0" fontId="7" fillId="0" borderId="18" xfId="0" applyFont="1" applyBorder="1" applyAlignment="1">
      <alignment horizontal="center"/>
    </xf>
    <xf numFmtId="43" fontId="7" fillId="0" borderId="27" xfId="1" applyFont="1" applyBorder="1" applyAlignment="1">
      <alignment horizontal="center"/>
    </xf>
    <xf numFmtId="0" fontId="7" fillId="0" borderId="28" xfId="0" applyFont="1" applyBorder="1" applyAlignment="1">
      <alignment horizontal="center"/>
    </xf>
    <xf numFmtId="0" fontId="7" fillId="0" borderId="3" xfId="0" applyFont="1" applyBorder="1" applyAlignment="1">
      <alignment horizontal="center"/>
    </xf>
    <xf numFmtId="43" fontId="7" fillId="0" borderId="28" xfId="1" applyFont="1" applyBorder="1" applyAlignment="1">
      <alignment horizontal="center"/>
    </xf>
    <xf numFmtId="0" fontId="6" fillId="0" borderId="18" xfId="0" applyFont="1" applyBorder="1"/>
    <xf numFmtId="0" fontId="6" fillId="0" borderId="1" xfId="0" quotePrefix="1" applyFont="1" applyBorder="1" applyAlignment="1">
      <alignment horizontal="center"/>
    </xf>
    <xf numFmtId="43" fontId="6" fillId="0" borderId="4" xfId="1" applyFont="1" applyBorder="1"/>
    <xf numFmtId="0" fontId="7" fillId="0" borderId="1" xfId="0" quotePrefix="1" applyFont="1" applyBorder="1" applyAlignment="1">
      <alignment horizontal="center"/>
    </xf>
    <xf numFmtId="0" fontId="6" fillId="0" borderId="0" xfId="0" applyFont="1"/>
    <xf numFmtId="0" fontId="7" fillId="0" borderId="3" xfId="0" quotePrefix="1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43" fontId="8" fillId="0" borderId="4" xfId="1" applyFont="1" applyBorder="1"/>
    <xf numFmtId="0" fontId="7" fillId="0" borderId="1" xfId="0" applyFont="1" applyBorder="1" applyAlignment="1">
      <alignment horizontal="center"/>
    </xf>
    <xf numFmtId="43" fontId="7" fillId="0" borderId="18" xfId="1" applyFont="1" applyBorder="1"/>
    <xf numFmtId="43" fontId="9" fillId="0" borderId="18" xfId="1" applyFont="1" applyBorder="1"/>
    <xf numFmtId="0" fontId="6" fillId="0" borderId="9" xfId="0" applyFont="1" applyBorder="1"/>
    <xf numFmtId="43" fontId="9" fillId="0" borderId="3" xfId="1" applyFont="1" applyBorder="1"/>
    <xf numFmtId="0" fontId="6" fillId="0" borderId="4" xfId="0" applyFont="1" applyBorder="1" applyAlignment="1">
      <alignment horizontal="center"/>
    </xf>
    <xf numFmtId="0" fontId="9" fillId="0" borderId="1" xfId="0" applyFont="1" applyBorder="1"/>
    <xf numFmtId="43" fontId="6" fillId="0" borderId="0" xfId="1" applyFont="1" applyBorder="1"/>
    <xf numFmtId="43" fontId="9" fillId="2" borderId="11" xfId="1" applyFont="1" applyFill="1" applyBorder="1"/>
    <xf numFmtId="43" fontId="9" fillId="0" borderId="0" xfId="1" applyFont="1"/>
    <xf numFmtId="0" fontId="7" fillId="0" borderId="0" xfId="0" applyFont="1" applyBorder="1" applyAlignment="1">
      <alignment horizontal="center"/>
    </xf>
    <xf numFmtId="43" fontId="8" fillId="0" borderId="0" xfId="1" applyFont="1" applyBorder="1"/>
    <xf numFmtId="43" fontId="9" fillId="2" borderId="0" xfId="1" applyFont="1" applyFill="1" applyBorder="1"/>
    <xf numFmtId="43" fontId="6" fillId="0" borderId="18" xfId="1" applyFont="1" applyBorder="1"/>
    <xf numFmtId="0" fontId="15" fillId="0" borderId="0" xfId="0" applyFont="1"/>
    <xf numFmtId="43" fontId="15" fillId="0" borderId="0" xfId="1" applyFont="1" applyAlignment="1">
      <alignment horizontal="right"/>
    </xf>
    <xf numFmtId="0" fontId="7" fillId="0" borderId="0" xfId="0" applyFont="1" applyBorder="1" applyAlignment="1">
      <alignment horizontal="left"/>
    </xf>
    <xf numFmtId="43" fontId="15" fillId="0" borderId="10" xfId="1" applyFont="1" applyBorder="1"/>
    <xf numFmtId="43" fontId="7" fillId="0" borderId="29" xfId="1" applyFont="1" applyBorder="1"/>
    <xf numFmtId="43" fontId="12" fillId="0" borderId="16" xfId="1" applyFont="1" applyBorder="1"/>
    <xf numFmtId="0" fontId="9" fillId="0" borderId="0" xfId="0" applyFont="1" applyBorder="1"/>
    <xf numFmtId="49" fontId="7" fillId="0" borderId="0" xfId="0" applyNumberFormat="1" applyFont="1" applyBorder="1"/>
    <xf numFmtId="0" fontId="8" fillId="0" borderId="13" xfId="0" applyFont="1" applyBorder="1"/>
    <xf numFmtId="49" fontId="7" fillId="0" borderId="0" xfId="0" applyNumberFormat="1" applyFont="1"/>
    <xf numFmtId="43" fontId="7" fillId="0" borderId="11" xfId="0" applyNumberFormat="1" applyFont="1" applyBorder="1"/>
    <xf numFmtId="0" fontId="6" fillId="0" borderId="13" xfId="0" applyFont="1" applyBorder="1"/>
    <xf numFmtId="0" fontId="10" fillId="0" borderId="13" xfId="0" applyFont="1" applyBorder="1"/>
    <xf numFmtId="49" fontId="6" fillId="0" borderId="13" xfId="0" applyNumberFormat="1" applyFont="1" applyBorder="1" applyAlignment="1">
      <alignment horizontal="center"/>
    </xf>
    <xf numFmtId="0" fontId="7" fillId="0" borderId="11" xfId="0" applyFont="1" applyBorder="1" applyAlignment="1">
      <alignment horizontal="left"/>
    </xf>
    <xf numFmtId="0" fontId="7" fillId="0" borderId="11" xfId="0" applyFont="1" applyBorder="1" applyAlignment="1"/>
    <xf numFmtId="43" fontId="9" fillId="0" borderId="17" xfId="1" applyFont="1" applyBorder="1"/>
    <xf numFmtId="43" fontId="9" fillId="0" borderId="0" xfId="1" applyFont="1" applyBorder="1" applyAlignment="1">
      <alignment horizontal="right"/>
    </xf>
    <xf numFmtId="43" fontId="6" fillId="0" borderId="9" xfId="1" quotePrefix="1" applyFont="1" applyBorder="1" applyAlignment="1">
      <alignment horizontal="right"/>
    </xf>
    <xf numFmtId="43" fontId="8" fillId="0" borderId="17" xfId="1" quotePrefix="1" applyFont="1" applyBorder="1" applyAlignment="1">
      <alignment horizontal="right"/>
    </xf>
    <xf numFmtId="43" fontId="9" fillId="2" borderId="16" xfId="1" applyFont="1" applyFill="1" applyBorder="1"/>
    <xf numFmtId="43" fontId="6" fillId="0" borderId="10" xfId="1" applyFont="1" applyBorder="1"/>
    <xf numFmtId="43" fontId="7" fillId="0" borderId="16" xfId="1" applyFont="1" applyBorder="1"/>
    <xf numFmtId="43" fontId="7" fillId="0" borderId="19" xfId="1" applyFont="1" applyBorder="1"/>
    <xf numFmtId="0" fontId="11" fillId="0" borderId="15" xfId="0" applyFont="1" applyBorder="1"/>
    <xf numFmtId="43" fontId="6" fillId="0" borderId="0" xfId="0" applyNumberFormat="1" applyFont="1" applyBorder="1"/>
    <xf numFmtId="0" fontId="6" fillId="0" borderId="9" xfId="0" applyFont="1" applyBorder="1" applyAlignment="1">
      <alignment horizontal="center"/>
    </xf>
    <xf numFmtId="49" fontId="7" fillId="0" borderId="17" xfId="0" applyNumberFormat="1" applyFont="1" applyBorder="1"/>
    <xf numFmtId="43" fontId="17" fillId="0" borderId="11" xfId="1" applyFont="1" applyBorder="1"/>
    <xf numFmtId="0" fontId="12" fillId="0" borderId="0" xfId="0" applyFont="1"/>
    <xf numFmtId="43" fontId="12" fillId="0" borderId="0" xfId="1" applyFont="1"/>
    <xf numFmtId="0" fontId="6" fillId="0" borderId="3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2" xfId="0" applyFont="1" applyBorder="1" applyAlignment="1">
      <alignment horizontal="center"/>
    </xf>
    <xf numFmtId="0" fontId="8" fillId="0" borderId="1" xfId="0" applyFont="1" applyBorder="1" applyAlignment="1">
      <alignment horizontal="center"/>
    </xf>
    <xf numFmtId="0" fontId="6" fillId="0" borderId="17" xfId="0" applyFont="1" applyBorder="1" applyAlignment="1">
      <alignment horizontal="center"/>
    </xf>
    <xf numFmtId="0" fontId="8" fillId="0" borderId="7" xfId="0" applyFont="1" applyBorder="1" applyAlignment="1">
      <alignment vertical="center"/>
    </xf>
    <xf numFmtId="0" fontId="8" fillId="0" borderId="18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43" fontId="20" fillId="0" borderId="11" xfId="1" applyFont="1" applyBorder="1"/>
    <xf numFmtId="49" fontId="12" fillId="0" borderId="11" xfId="0" applyNumberFormat="1" applyFont="1" applyBorder="1" applyAlignment="1">
      <alignment horizontal="center"/>
    </xf>
    <xf numFmtId="0" fontId="20" fillId="0" borderId="11" xfId="0" applyFont="1" applyBorder="1"/>
    <xf numFmtId="0" fontId="9" fillId="0" borderId="3" xfId="0" applyFont="1" applyBorder="1"/>
    <xf numFmtId="43" fontId="21" fillId="0" borderId="11" xfId="1" applyFont="1" applyBorder="1"/>
    <xf numFmtId="0" fontId="8" fillId="0" borderId="5" xfId="0" applyFont="1" applyBorder="1" applyAlignment="1">
      <alignment horizontal="center"/>
    </xf>
    <xf numFmtId="43" fontId="9" fillId="0" borderId="32" xfId="1" applyFont="1" applyBorder="1"/>
    <xf numFmtId="0" fontId="9" fillId="0" borderId="32" xfId="0" applyFont="1" applyBorder="1"/>
    <xf numFmtId="0" fontId="11" fillId="0" borderId="11" xfId="0" applyFont="1" applyBorder="1"/>
    <xf numFmtId="43" fontId="21" fillId="0" borderId="8" xfId="1" applyFont="1" applyBorder="1"/>
    <xf numFmtId="43" fontId="21" fillId="0" borderId="8" xfId="0" applyNumberFormat="1" applyFont="1" applyBorder="1"/>
    <xf numFmtId="0" fontId="12" fillId="0" borderId="0" xfId="0" applyFont="1" applyBorder="1"/>
    <xf numFmtId="0" fontId="7" fillId="0" borderId="0" xfId="0" applyFont="1" applyAlignment="1">
      <alignment horizontal="center"/>
    </xf>
    <xf numFmtId="0" fontId="11" fillId="0" borderId="9" xfId="0" applyFont="1" applyBorder="1"/>
    <xf numFmtId="43" fontId="7" fillId="0" borderId="3" xfId="1" applyFont="1" applyBorder="1"/>
    <xf numFmtId="0" fontId="7" fillId="0" borderId="1" xfId="0" applyFont="1" applyBorder="1" applyAlignment="1">
      <alignment horizontal="left"/>
    </xf>
    <xf numFmtId="43" fontId="6" fillId="0" borderId="11" xfId="1" applyFont="1" applyBorder="1"/>
    <xf numFmtId="43" fontId="9" fillId="0" borderId="19" xfId="1" applyFont="1" applyBorder="1"/>
    <xf numFmtId="43" fontId="8" fillId="0" borderId="18" xfId="1" applyFont="1" applyBorder="1"/>
    <xf numFmtId="43" fontId="9" fillId="0" borderId="18" xfId="1" applyFont="1" applyBorder="1" applyAlignment="1">
      <alignment horizontal="center"/>
    </xf>
    <xf numFmtId="43" fontId="7" fillId="0" borderId="3" xfId="1" applyFont="1" applyBorder="1" applyAlignment="1">
      <alignment horizontal="center"/>
    </xf>
    <xf numFmtId="0" fontId="19" fillId="0" borderId="0" xfId="0" applyFont="1" applyBorder="1"/>
    <xf numFmtId="4" fontId="16" fillId="0" borderId="0" xfId="0" applyNumberFormat="1" applyFont="1" applyBorder="1" applyAlignment="1"/>
    <xf numFmtId="0" fontId="6" fillId="0" borderId="0" xfId="0" applyFont="1" applyBorder="1" applyAlignment="1">
      <alignment horizontal="center"/>
    </xf>
    <xf numFmtId="4" fontId="15" fillId="0" borderId="30" xfId="0" applyNumberFormat="1" applyFont="1" applyBorder="1"/>
    <xf numFmtId="0" fontId="6" fillId="0" borderId="0" xfId="0" applyFont="1" applyBorder="1" applyAlignment="1">
      <alignment horizontal="center"/>
    </xf>
    <xf numFmtId="0" fontId="7" fillId="0" borderId="29" xfId="0" quotePrefix="1" applyFont="1" applyBorder="1" applyAlignment="1">
      <alignment horizontal="center"/>
    </xf>
    <xf numFmtId="43" fontId="14" fillId="0" borderId="0" xfId="1" applyFont="1"/>
    <xf numFmtId="0" fontId="6" fillId="0" borderId="0" xfId="0" applyFont="1" applyBorder="1" applyAlignment="1">
      <alignment horizontal="center"/>
    </xf>
    <xf numFmtId="0" fontId="22" fillId="3" borderId="14" xfId="0" applyFont="1" applyFill="1" applyBorder="1"/>
    <xf numFmtId="0" fontId="22" fillId="3" borderId="0" xfId="0" applyFont="1" applyFill="1"/>
    <xf numFmtId="43" fontId="22" fillId="3" borderId="0" xfId="1" applyFont="1" applyFill="1"/>
    <xf numFmtId="0" fontId="18" fillId="3" borderId="14" xfId="0" applyFont="1" applyFill="1" applyBorder="1" applyAlignment="1">
      <alignment horizontal="left"/>
    </xf>
    <xf numFmtId="49" fontId="17" fillId="3" borderId="14" xfId="0" applyNumberFormat="1" applyFont="1" applyFill="1" applyBorder="1" applyAlignment="1">
      <alignment horizontal="center"/>
    </xf>
    <xf numFmtId="43" fontId="18" fillId="3" borderId="13" xfId="1" applyFont="1" applyFill="1" applyBorder="1"/>
    <xf numFmtId="0" fontId="13" fillId="0" borderId="11" xfId="0" applyFont="1" applyBorder="1"/>
    <xf numFmtId="0" fontId="14" fillId="0" borderId="0" xfId="0" applyFont="1"/>
    <xf numFmtId="0" fontId="21" fillId="0" borderId="16" xfId="0" applyFont="1" applyBorder="1"/>
    <xf numFmtId="43" fontId="12" fillId="0" borderId="1" xfId="1" applyFont="1" applyBorder="1"/>
    <xf numFmtId="43" fontId="21" fillId="0" borderId="16" xfId="1" applyFont="1" applyBorder="1"/>
    <xf numFmtId="0" fontId="21" fillId="0" borderId="14" xfId="0" applyFont="1" applyBorder="1"/>
    <xf numFmtId="43" fontId="21" fillId="0" borderId="14" xfId="1" applyFont="1" applyBorder="1"/>
    <xf numFmtId="49" fontId="12" fillId="0" borderId="16" xfId="0" applyNumberFormat="1" applyFont="1" applyBorder="1" applyAlignment="1">
      <alignment horizontal="center"/>
    </xf>
    <xf numFmtId="43" fontId="20" fillId="0" borderId="16" xfId="1" applyFont="1" applyBorder="1"/>
    <xf numFmtId="49" fontId="14" fillId="0" borderId="8" xfId="0" applyNumberFormat="1" applyFont="1" applyBorder="1" applyAlignment="1">
      <alignment horizontal="center"/>
    </xf>
    <xf numFmtId="43" fontId="21" fillId="0" borderId="24" xfId="1" applyFont="1" applyBorder="1"/>
    <xf numFmtId="43" fontId="21" fillId="0" borderId="4" xfId="1" applyFont="1" applyBorder="1"/>
    <xf numFmtId="0" fontId="14" fillId="0" borderId="4" xfId="0" applyFont="1" applyBorder="1" applyAlignment="1">
      <alignment horizontal="center"/>
    </xf>
    <xf numFmtId="49" fontId="12" fillId="0" borderId="4" xfId="0" applyNumberFormat="1" applyFont="1" applyBorder="1"/>
    <xf numFmtId="43" fontId="21" fillId="0" borderId="4" xfId="0" applyNumberFormat="1" applyFont="1" applyBorder="1"/>
    <xf numFmtId="0" fontId="7" fillId="0" borderId="16" xfId="0" applyFont="1" applyBorder="1" applyAlignment="1">
      <alignment horizontal="left"/>
    </xf>
    <xf numFmtId="43" fontId="9" fillId="2" borderId="14" xfId="1" applyFont="1" applyFill="1" applyBorder="1"/>
    <xf numFmtId="43" fontId="9" fillId="0" borderId="14" xfId="1" applyFont="1" applyBorder="1"/>
    <xf numFmtId="0" fontId="12" fillId="0" borderId="16" xfId="0" applyFont="1" applyBorder="1"/>
    <xf numFmtId="43" fontId="14" fillId="0" borderId="8" xfId="1" applyFont="1" applyBorder="1"/>
    <xf numFmtId="43" fontId="8" fillId="0" borderId="8" xfId="1" applyFont="1" applyBorder="1"/>
    <xf numFmtId="43" fontId="21" fillId="2" borderId="8" xfId="1" applyFont="1" applyFill="1" applyBorder="1"/>
    <xf numFmtId="0" fontId="14" fillId="0" borderId="1" xfId="0" applyFont="1" applyBorder="1" applyAlignment="1">
      <alignment horizontal="left"/>
    </xf>
    <xf numFmtId="49" fontId="14" fillId="0" borderId="33" xfId="0" applyNumberFormat="1" applyFont="1" applyBorder="1" applyAlignment="1">
      <alignment horizontal="center"/>
    </xf>
    <xf numFmtId="43" fontId="8" fillId="0" borderId="24" xfId="1" applyFont="1" applyBorder="1"/>
    <xf numFmtId="0" fontId="18" fillId="0" borderId="27" xfId="0" applyFont="1" applyBorder="1" applyAlignment="1">
      <alignment horizontal="center"/>
    </xf>
    <xf numFmtId="0" fontId="23" fillId="0" borderId="2" xfId="0" applyFont="1" applyBorder="1"/>
    <xf numFmtId="43" fontId="8" fillId="0" borderId="8" xfId="0" applyNumberFormat="1" applyFont="1" applyBorder="1"/>
    <xf numFmtId="0" fontId="22" fillId="0" borderId="0" xfId="0" applyFont="1"/>
    <xf numFmtId="43" fontId="22" fillId="0" borderId="0" xfId="0" applyNumberFormat="1" applyFont="1"/>
    <xf numFmtId="0" fontId="7" fillId="0" borderId="0" xfId="0" quotePrefix="1" applyFont="1" applyBorder="1" applyAlignment="1">
      <alignment horizontal="center"/>
    </xf>
    <xf numFmtId="43" fontId="17" fillId="0" borderId="0" xfId="1" applyFont="1" applyBorder="1"/>
    <xf numFmtId="43" fontId="7" fillId="3" borderId="0" xfId="1" applyFont="1" applyFill="1"/>
    <xf numFmtId="0" fontId="12" fillId="0" borderId="25" xfId="0" applyFont="1" applyBorder="1"/>
    <xf numFmtId="43" fontId="12" fillId="0" borderId="18" xfId="1" applyFont="1" applyBorder="1"/>
    <xf numFmtId="43" fontId="12" fillId="0" borderId="26" xfId="1" applyFont="1" applyBorder="1"/>
    <xf numFmtId="0" fontId="12" fillId="0" borderId="15" xfId="0" applyFont="1" applyBorder="1"/>
    <xf numFmtId="0" fontId="12" fillId="0" borderId="31" xfId="0" applyFont="1" applyBorder="1"/>
    <xf numFmtId="0" fontId="12" fillId="0" borderId="19" xfId="0" applyFont="1" applyBorder="1"/>
    <xf numFmtId="43" fontId="12" fillId="0" borderId="19" xfId="1" applyFont="1" applyBorder="1"/>
    <xf numFmtId="0" fontId="14" fillId="0" borderId="8" xfId="0" applyFont="1" applyBorder="1" applyAlignment="1">
      <alignment horizontal="right"/>
    </xf>
    <xf numFmtId="43" fontId="14" fillId="0" borderId="7" xfId="1" applyFont="1" applyBorder="1"/>
    <xf numFmtId="43" fontId="14" fillId="0" borderId="0" xfId="1" applyFont="1" applyBorder="1"/>
    <xf numFmtId="0" fontId="14" fillId="0" borderId="0" xfId="0" applyFont="1" applyBorder="1" applyAlignment="1">
      <alignment horizontal="right"/>
    </xf>
    <xf numFmtId="0" fontId="12" fillId="0" borderId="0" xfId="0" applyFont="1" applyAlignment="1">
      <alignment horizontal="left"/>
    </xf>
    <xf numFmtId="43" fontId="12" fillId="0" borderId="9" xfId="1" applyFont="1" applyBorder="1" applyAlignment="1">
      <alignment horizontal="center"/>
    </xf>
    <xf numFmtId="43" fontId="12" fillId="0" borderId="0" xfId="1" applyFont="1" applyBorder="1" applyAlignment="1">
      <alignment horizontal="center"/>
    </xf>
    <xf numFmtId="0" fontId="24" fillId="0" borderId="29" xfId="0" applyFont="1" applyFill="1" applyBorder="1"/>
    <xf numFmtId="0" fontId="12" fillId="0" borderId="4" xfId="0" applyFont="1" applyBorder="1" applyAlignment="1">
      <alignment horizontal="center"/>
    </xf>
    <xf numFmtId="43" fontId="12" fillId="0" borderId="4" xfId="1" applyFont="1" applyBorder="1" applyAlignment="1">
      <alignment horizontal="center"/>
    </xf>
    <xf numFmtId="43" fontId="12" fillId="0" borderId="18" xfId="1" applyFont="1" applyBorder="1" applyAlignment="1">
      <alignment horizontal="center"/>
    </xf>
    <xf numFmtId="0" fontId="12" fillId="0" borderId="29" xfId="0" applyFont="1" applyFill="1" applyBorder="1"/>
    <xf numFmtId="0" fontId="12" fillId="0" borderId="15" xfId="0" applyFont="1" applyBorder="1" applyAlignment="1">
      <alignment horizontal="left"/>
    </xf>
    <xf numFmtId="0" fontId="12" fillId="0" borderId="24" xfId="0" applyFont="1" applyBorder="1"/>
    <xf numFmtId="43" fontId="12" fillId="0" borderId="26" xfId="0" applyNumberFormat="1" applyFont="1" applyBorder="1"/>
    <xf numFmtId="43" fontId="12" fillId="0" borderId="9" xfId="1" applyFont="1" applyBorder="1"/>
    <xf numFmtId="43" fontId="12" fillId="0" borderId="9" xfId="0" applyNumberFormat="1" applyFont="1" applyBorder="1" applyAlignment="1">
      <alignment horizontal="center"/>
    </xf>
    <xf numFmtId="43" fontId="12" fillId="0" borderId="0" xfId="0" applyNumberFormat="1" applyFont="1"/>
    <xf numFmtId="0" fontId="7" fillId="0" borderId="29" xfId="0" applyFont="1" applyBorder="1"/>
    <xf numFmtId="0" fontId="6" fillId="0" borderId="0" xfId="0" applyFont="1" applyBorder="1" applyAlignment="1">
      <alignment horizontal="center"/>
    </xf>
    <xf numFmtId="0" fontId="6" fillId="0" borderId="20" xfId="0" applyFont="1" applyBorder="1" applyAlignment="1">
      <alignment horizontal="center"/>
    </xf>
    <xf numFmtId="0" fontId="8" fillId="0" borderId="20" xfId="0" applyFont="1" applyBorder="1" applyAlignment="1">
      <alignment horizontal="center"/>
    </xf>
    <xf numFmtId="0" fontId="7" fillId="0" borderId="12" xfId="0" applyFont="1" applyBorder="1"/>
    <xf numFmtId="0" fontId="7" fillId="0" borderId="12" xfId="0" quotePrefix="1" applyFont="1" applyBorder="1" applyAlignment="1">
      <alignment horizontal="center"/>
    </xf>
    <xf numFmtId="43" fontId="17" fillId="0" borderId="12" xfId="1" applyFont="1" applyBorder="1"/>
    <xf numFmtId="0" fontId="2" fillId="0" borderId="0" xfId="0" applyFont="1"/>
    <xf numFmtId="43" fontId="2" fillId="0" borderId="0" xfId="0" applyNumberFormat="1" applyFont="1"/>
    <xf numFmtId="43" fontId="17" fillId="3" borderId="12" xfId="1" applyFont="1" applyFill="1" applyBorder="1"/>
    <xf numFmtId="0" fontId="17" fillId="0" borderId="12" xfId="0" applyFont="1" applyBorder="1"/>
    <xf numFmtId="0" fontId="7" fillId="0" borderId="21" xfId="0" applyFont="1" applyBorder="1"/>
    <xf numFmtId="0" fontId="7" fillId="0" borderId="21" xfId="0" applyFont="1" applyBorder="1" applyAlignment="1">
      <alignment horizontal="center"/>
    </xf>
    <xf numFmtId="43" fontId="17" fillId="3" borderId="21" xfId="1" applyFont="1" applyFill="1" applyBorder="1"/>
    <xf numFmtId="43" fontId="9" fillId="0" borderId="21" xfId="1" applyFont="1" applyBorder="1"/>
    <xf numFmtId="43" fontId="7" fillId="0" borderId="12" xfId="1" applyFont="1" applyBorder="1"/>
    <xf numFmtId="0" fontId="7" fillId="0" borderId="12" xfId="0" applyFont="1" applyBorder="1" applyAlignment="1">
      <alignment horizontal="center"/>
    </xf>
    <xf numFmtId="0" fontId="7" fillId="0" borderId="21" xfId="0" quotePrefix="1" applyFont="1" applyBorder="1" applyAlignment="1">
      <alignment horizontal="center"/>
    </xf>
    <xf numFmtId="0" fontId="7" fillId="0" borderId="20" xfId="0" applyFont="1" applyBorder="1" applyAlignment="1">
      <alignment horizontal="center"/>
    </xf>
    <xf numFmtId="43" fontId="8" fillId="0" borderId="22" xfId="1" applyFont="1" applyBorder="1"/>
    <xf numFmtId="43" fontId="9" fillId="0" borderId="0" xfId="0" applyNumberFormat="1" applyFont="1"/>
    <xf numFmtId="0" fontId="3" fillId="0" borderId="0" xfId="0" applyFont="1"/>
    <xf numFmtId="0" fontId="6" fillId="0" borderId="3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8" fillId="0" borderId="21" xfId="0" applyFont="1" applyBorder="1" applyAlignment="1">
      <alignment horizontal="center"/>
    </xf>
    <xf numFmtId="0" fontId="7" fillId="0" borderId="21" xfId="0" applyFont="1" applyBorder="1" applyAlignment="1">
      <alignment horizontal="left"/>
    </xf>
    <xf numFmtId="0" fontId="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43" fontId="8" fillId="2" borderId="8" xfId="1" applyFont="1" applyFill="1" applyBorder="1"/>
    <xf numFmtId="43" fontId="8" fillId="0" borderId="13" xfId="1" quotePrefix="1" applyFont="1" applyBorder="1" applyAlignment="1">
      <alignment horizontal="right"/>
    </xf>
    <xf numFmtId="0" fontId="9" fillId="0" borderId="19" xfId="0" applyFont="1" applyBorder="1"/>
    <xf numFmtId="0" fontId="22" fillId="0" borderId="0" xfId="0" applyFont="1" applyBorder="1"/>
    <xf numFmtId="43" fontId="7" fillId="0" borderId="0" xfId="1" applyFont="1" applyBorder="1" applyAlignment="1">
      <alignment horizontal="center"/>
    </xf>
    <xf numFmtId="43" fontId="9" fillId="0" borderId="0" xfId="1" applyFont="1" applyBorder="1" applyAlignment="1">
      <alignment horizontal="center"/>
    </xf>
    <xf numFmtId="0" fontId="6" fillId="0" borderId="0" xfId="0" applyFont="1" applyBorder="1"/>
    <xf numFmtId="0" fontId="6" fillId="0" borderId="0" xfId="0" quotePrefix="1" applyFont="1" applyBorder="1" applyAlignment="1">
      <alignment horizontal="center"/>
    </xf>
    <xf numFmtId="43" fontId="22" fillId="4" borderId="0" xfId="0" applyNumberFormat="1" applyFont="1" applyFill="1" applyBorder="1"/>
    <xf numFmtId="43" fontId="9" fillId="0" borderId="21" xfId="1" applyFont="1" applyBorder="1" applyAlignment="1">
      <alignment horizontal="right"/>
    </xf>
    <xf numFmtId="0" fontId="6" fillId="0" borderId="1" xfId="0" applyFont="1" applyBorder="1" applyAlignment="1">
      <alignment horizontal="left"/>
    </xf>
    <xf numFmtId="43" fontId="8" fillId="0" borderId="11" xfId="1" applyFont="1" applyBorder="1"/>
    <xf numFmtId="0" fontId="8" fillId="0" borderId="16" xfId="0" applyFont="1" applyBorder="1"/>
    <xf numFmtId="43" fontId="8" fillId="0" borderId="16" xfId="1" applyFont="1" applyBorder="1"/>
    <xf numFmtId="0" fontId="6" fillId="0" borderId="11" xfId="0" applyFont="1" applyBorder="1"/>
    <xf numFmtId="0" fontId="8" fillId="0" borderId="14" xfId="0" applyFont="1" applyBorder="1"/>
    <xf numFmtId="43" fontId="8" fillId="0" borderId="14" xfId="1" applyFont="1" applyBorder="1"/>
    <xf numFmtId="49" fontId="7" fillId="0" borderId="4" xfId="0" applyNumberFormat="1" applyFont="1" applyBorder="1"/>
    <xf numFmtId="43" fontId="8" fillId="0" borderId="4" xfId="0" applyNumberFormat="1" applyFont="1" applyBorder="1"/>
    <xf numFmtId="0" fontId="6" fillId="0" borderId="3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1" fillId="0" borderId="16" xfId="0" applyFont="1" applyBorder="1"/>
    <xf numFmtId="43" fontId="12" fillId="0" borderId="11" xfId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43" fontId="6" fillId="0" borderId="1" xfId="1" applyFont="1" applyBorder="1"/>
    <xf numFmtId="0" fontId="12" fillId="0" borderId="3" xfId="0" applyFont="1" applyBorder="1"/>
    <xf numFmtId="0" fontId="6" fillId="0" borderId="3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2" fillId="0" borderId="14" xfId="0" applyFont="1" applyBorder="1"/>
    <xf numFmtId="49" fontId="7" fillId="0" borderId="23" xfId="0" applyNumberFormat="1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43" fontId="25" fillId="0" borderId="0" xfId="0" applyNumberFormat="1" applyFont="1"/>
    <xf numFmtId="43" fontId="22" fillId="0" borderId="0" xfId="1" applyFont="1" applyBorder="1"/>
    <xf numFmtId="0" fontId="6" fillId="0" borderId="3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15" fillId="0" borderId="0" xfId="0" applyFont="1" applyBorder="1" applyAlignment="1">
      <alignment horizontal="center"/>
    </xf>
    <xf numFmtId="0" fontId="6" fillId="0" borderId="34" xfId="0" applyFont="1" applyBorder="1" applyAlignment="1">
      <alignment horizontal="center"/>
    </xf>
    <xf numFmtId="0" fontId="6" fillId="0" borderId="36" xfId="0" applyFont="1" applyBorder="1" applyAlignment="1">
      <alignment horizontal="center"/>
    </xf>
    <xf numFmtId="0" fontId="6" fillId="0" borderId="35" xfId="0" applyFont="1" applyBorder="1" applyAlignment="1">
      <alignment horizontal="center"/>
    </xf>
    <xf numFmtId="0" fontId="6" fillId="0" borderId="0" xfId="0" applyFont="1" applyAlignment="1">
      <alignment horizontal="center"/>
    </xf>
    <xf numFmtId="0" fontId="6" fillId="0" borderId="30" xfId="0" applyFont="1" applyBorder="1" applyAlignment="1">
      <alignment horizontal="center"/>
    </xf>
    <xf numFmtId="0" fontId="6" fillId="0" borderId="0" xfId="0" applyFont="1" applyBorder="1" applyAlignment="1">
      <alignment horizontal="center"/>
    </xf>
    <xf numFmtId="0" fontId="15" fillId="0" borderId="29" xfId="0" applyFont="1" applyBorder="1" applyAlignment="1">
      <alignment horizontal="center"/>
    </xf>
    <xf numFmtId="0" fontId="15" fillId="0" borderId="0" xfId="0" applyFont="1" applyBorder="1" applyAlignment="1">
      <alignment horizontal="center"/>
    </xf>
    <xf numFmtId="0" fontId="15" fillId="0" borderId="0" xfId="0" applyFont="1" applyAlignment="1">
      <alignment horizontal="center"/>
    </xf>
    <xf numFmtId="0" fontId="5" fillId="0" borderId="0" xfId="0" applyFont="1" applyAlignment="1">
      <alignment horizontal="center"/>
    </xf>
  </cellXfs>
  <cellStyles count="2">
    <cellStyle name="เครื่องหมายจุลภาค" xfId="1" builtinId="3"/>
    <cellStyle name="ปกติ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ชุดรูปแบบของ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L695"/>
  <sheetViews>
    <sheetView topLeftCell="A681" zoomScaleNormal="100" zoomScaleSheetLayoutView="100" workbookViewId="0">
      <selection activeCell="A610" sqref="A610:G696"/>
    </sheetView>
  </sheetViews>
  <sheetFormatPr defaultRowHeight="18.95" customHeight="1"/>
  <cols>
    <col min="1" max="1" width="14.7109375" style="41" customWidth="1"/>
    <col min="2" max="2" width="12.7109375" style="41" customWidth="1"/>
    <col min="3" max="3" width="13.5703125" style="41" bestFit="1" customWidth="1"/>
    <col min="4" max="4" width="14" style="2" customWidth="1"/>
    <col min="5" max="5" width="27" style="2" customWidth="1"/>
    <col min="6" max="6" width="9.42578125" style="90" customWidth="1"/>
    <col min="7" max="7" width="14.85546875" style="41" customWidth="1"/>
    <col min="8" max="8" width="12" style="2" bestFit="1" customWidth="1"/>
    <col min="9" max="9" width="20" style="3" customWidth="1"/>
    <col min="10" max="10" width="19.28515625" style="3" customWidth="1"/>
    <col min="11" max="11" width="16.85546875" style="3" customWidth="1"/>
    <col min="12" max="12" width="11.140625" style="2" customWidth="1"/>
    <col min="13" max="16384" width="9.140625" style="2"/>
  </cols>
  <sheetData>
    <row r="1" spans="1:11" ht="18.95" customHeight="1">
      <c r="A1" s="303" t="s">
        <v>20</v>
      </c>
      <c r="B1" s="303"/>
      <c r="C1" s="303"/>
      <c r="D1" s="303"/>
      <c r="E1" s="303"/>
      <c r="F1" s="303"/>
      <c r="G1" s="303"/>
    </row>
    <row r="2" spans="1:11" ht="18.95" customHeight="1">
      <c r="A2" s="303" t="s">
        <v>92</v>
      </c>
      <c r="B2" s="303"/>
      <c r="C2" s="303"/>
      <c r="D2" s="303"/>
      <c r="E2" s="303"/>
      <c r="F2" s="303"/>
      <c r="G2" s="303"/>
    </row>
    <row r="3" spans="1:11" ht="18.95" customHeight="1">
      <c r="A3" s="303" t="s">
        <v>193</v>
      </c>
      <c r="B3" s="303"/>
      <c r="C3" s="303"/>
      <c r="D3" s="303"/>
      <c r="E3" s="303"/>
      <c r="F3" s="303"/>
      <c r="G3" s="303"/>
    </row>
    <row r="4" spans="1:11" ht="18.95" customHeight="1" thickBot="1">
      <c r="A4" s="304"/>
      <c r="B4" s="304"/>
      <c r="C4" s="304"/>
      <c r="D4" s="304"/>
      <c r="E4" s="304"/>
      <c r="F4" s="304"/>
      <c r="G4" s="304"/>
    </row>
    <row r="5" spans="1:11" ht="18.95" customHeight="1" thickTop="1" thickBot="1">
      <c r="A5" s="300" t="s">
        <v>6</v>
      </c>
      <c r="B5" s="301"/>
      <c r="C5" s="301"/>
      <c r="D5" s="302"/>
      <c r="E5" s="4"/>
      <c r="F5" s="5" t="s">
        <v>16</v>
      </c>
      <c r="G5" s="125" t="s">
        <v>26</v>
      </c>
    </row>
    <row r="6" spans="1:11" ht="18.95" customHeight="1" thickTop="1">
      <c r="A6" s="118" t="s">
        <v>1</v>
      </c>
      <c r="B6" s="114" t="s">
        <v>93</v>
      </c>
      <c r="C6" s="114" t="s">
        <v>97</v>
      </c>
      <c r="D6" s="6" t="s">
        <v>7</v>
      </c>
      <c r="E6" s="4" t="s">
        <v>8</v>
      </c>
      <c r="F6" s="8" t="s">
        <v>17</v>
      </c>
      <c r="G6" s="115" t="s">
        <v>18</v>
      </c>
    </row>
    <row r="7" spans="1:11" ht="18.95" customHeight="1">
      <c r="A7" s="119" t="s">
        <v>96</v>
      </c>
      <c r="B7" s="9" t="s">
        <v>94</v>
      </c>
      <c r="C7" s="9" t="s">
        <v>96</v>
      </c>
      <c r="D7" s="116" t="s">
        <v>96</v>
      </c>
      <c r="E7" s="7"/>
      <c r="F7" s="8"/>
      <c r="G7" s="115" t="s">
        <v>98</v>
      </c>
    </row>
    <row r="8" spans="1:11" ht="18.95" customHeight="1" thickBot="1">
      <c r="A8" s="117"/>
      <c r="B8" s="13" t="s">
        <v>95</v>
      </c>
      <c r="C8" s="10"/>
      <c r="D8" s="112"/>
      <c r="E8" s="11"/>
      <c r="F8" s="12"/>
      <c r="G8" s="13" t="s">
        <v>96</v>
      </c>
    </row>
    <row r="9" spans="1:11" s="150" customFormat="1" ht="18.95" customHeight="1" thickTop="1">
      <c r="A9" s="149"/>
      <c r="B9" s="149"/>
      <c r="C9" s="149"/>
      <c r="D9" s="154">
        <f>20962997.47</f>
        <v>20962997.469999999</v>
      </c>
      <c r="E9" s="152" t="s">
        <v>3</v>
      </c>
      <c r="F9" s="153"/>
      <c r="G9" s="154">
        <f>20962997.47</f>
        <v>20962997.469999999</v>
      </c>
      <c r="I9" s="151"/>
      <c r="J9" s="151"/>
      <c r="K9" s="151"/>
    </row>
    <row r="10" spans="1:11" ht="18.95" customHeight="1">
      <c r="A10" s="14"/>
      <c r="B10" s="14"/>
      <c r="C10" s="14"/>
      <c r="D10" s="15"/>
      <c r="E10" s="16" t="s">
        <v>68</v>
      </c>
      <c r="F10" s="17"/>
      <c r="G10" s="14"/>
    </row>
    <row r="11" spans="1:11" s="110" customFormat="1" ht="18.95" customHeight="1">
      <c r="A11" s="124">
        <f>C11</f>
        <v>186000</v>
      </c>
      <c r="B11" s="120"/>
      <c r="C11" s="124">
        <v>186000</v>
      </c>
      <c r="D11" s="37">
        <f>G11</f>
        <v>497.26</v>
      </c>
      <c r="E11" s="38" t="s">
        <v>9</v>
      </c>
      <c r="F11" s="121" t="s">
        <v>246</v>
      </c>
      <c r="G11" s="120">
        <v>497.26</v>
      </c>
      <c r="I11" s="111"/>
      <c r="J11" s="111"/>
      <c r="K11" s="111"/>
    </row>
    <row r="12" spans="1:11" s="110" customFormat="1" ht="18.95" customHeight="1">
      <c r="A12" s="124">
        <f t="shared" ref="A12:A17" si="0">C12</f>
        <v>113500</v>
      </c>
      <c r="B12" s="120"/>
      <c r="C12" s="124">
        <v>113500</v>
      </c>
      <c r="D12" s="37">
        <f t="shared" ref="D12:D19" si="1">G12</f>
        <v>325</v>
      </c>
      <c r="E12" s="38" t="s">
        <v>10</v>
      </c>
      <c r="F12" s="121" t="s">
        <v>247</v>
      </c>
      <c r="G12" s="120">
        <f>55+20+200+50</f>
        <v>325</v>
      </c>
      <c r="I12" s="111"/>
      <c r="J12" s="111"/>
      <c r="K12" s="111"/>
    </row>
    <row r="13" spans="1:11" s="110" customFormat="1" ht="18.95" customHeight="1">
      <c r="A13" s="124">
        <f t="shared" si="0"/>
        <v>100000</v>
      </c>
      <c r="B13" s="120"/>
      <c r="C13" s="124">
        <v>100000</v>
      </c>
      <c r="D13" s="37">
        <f t="shared" si="1"/>
        <v>0</v>
      </c>
      <c r="E13" s="38" t="s">
        <v>11</v>
      </c>
      <c r="F13" s="121" t="s">
        <v>248</v>
      </c>
      <c r="G13" s="120">
        <v>0</v>
      </c>
      <c r="I13" s="111"/>
      <c r="J13" s="111"/>
      <c r="K13" s="111"/>
    </row>
    <row r="14" spans="1:11" s="110" customFormat="1" ht="18.95" customHeight="1">
      <c r="A14" s="124">
        <v>0</v>
      </c>
      <c r="B14" s="120"/>
      <c r="C14" s="124">
        <f>SUM(A14:B14)</f>
        <v>0</v>
      </c>
      <c r="D14" s="37">
        <f t="shared" si="1"/>
        <v>0</v>
      </c>
      <c r="E14" s="38" t="s">
        <v>12</v>
      </c>
      <c r="F14" s="121" t="s">
        <v>249</v>
      </c>
      <c r="G14" s="120">
        <v>0</v>
      </c>
      <c r="I14" s="111"/>
      <c r="J14" s="111"/>
      <c r="K14" s="111"/>
    </row>
    <row r="15" spans="1:11" s="110" customFormat="1" ht="18.95" customHeight="1">
      <c r="A15" s="124">
        <f t="shared" si="0"/>
        <v>10500</v>
      </c>
      <c r="B15" s="120"/>
      <c r="C15" s="124">
        <v>10500</v>
      </c>
      <c r="D15" s="37">
        <f t="shared" si="1"/>
        <v>2000</v>
      </c>
      <c r="E15" s="38" t="s">
        <v>13</v>
      </c>
      <c r="F15" s="121" t="s">
        <v>250</v>
      </c>
      <c r="G15" s="120">
        <v>2000</v>
      </c>
      <c r="I15" s="111"/>
      <c r="J15" s="111"/>
      <c r="K15" s="111"/>
    </row>
    <row r="16" spans="1:11" s="110" customFormat="1" ht="18.95" customHeight="1">
      <c r="A16" s="124">
        <v>0</v>
      </c>
      <c r="B16" s="120"/>
      <c r="C16" s="124">
        <f>SUM(A16:B16)</f>
        <v>0</v>
      </c>
      <c r="D16" s="37">
        <f t="shared" si="1"/>
        <v>0</v>
      </c>
      <c r="E16" s="38" t="s">
        <v>14</v>
      </c>
      <c r="F16" s="121" t="s">
        <v>251</v>
      </c>
      <c r="G16" s="120">
        <v>0</v>
      </c>
      <c r="I16" s="111"/>
      <c r="J16" s="111"/>
      <c r="K16" s="111"/>
    </row>
    <row r="17" spans="1:11" s="110" customFormat="1" ht="18.95" customHeight="1">
      <c r="A17" s="124">
        <f t="shared" si="0"/>
        <v>15590000</v>
      </c>
      <c r="B17" s="120"/>
      <c r="C17" s="124">
        <v>15590000</v>
      </c>
      <c r="D17" s="37">
        <f t="shared" si="1"/>
        <v>1375398.69</v>
      </c>
      <c r="E17" s="38" t="s">
        <v>15</v>
      </c>
      <c r="F17" s="121" t="s">
        <v>252</v>
      </c>
      <c r="G17" s="120">
        <f>807681.19+136065.98+375552.6+11585.92+44513</f>
        <v>1375398.69</v>
      </c>
      <c r="I17" s="111"/>
      <c r="J17" s="111"/>
      <c r="K17" s="111"/>
    </row>
    <row r="18" spans="1:11" s="110" customFormat="1" ht="18.95" customHeight="1">
      <c r="A18" s="124">
        <v>20000000</v>
      </c>
      <c r="B18" s="120"/>
      <c r="C18" s="124">
        <f>SUM(A18:B18)</f>
        <v>20000000</v>
      </c>
      <c r="D18" s="37">
        <f t="shared" si="1"/>
        <v>5566536</v>
      </c>
      <c r="E18" s="38" t="s">
        <v>52</v>
      </c>
      <c r="F18" s="121" t="s">
        <v>253</v>
      </c>
      <c r="G18" s="120">
        <v>5566536</v>
      </c>
      <c r="I18" s="111"/>
      <c r="J18" s="147">
        <f>SUM(G11:G18)</f>
        <v>6944756.9500000002</v>
      </c>
      <c r="K18" s="147" t="s">
        <v>159</v>
      </c>
    </row>
    <row r="19" spans="1:11" s="110" customFormat="1" ht="18.95" customHeight="1">
      <c r="A19" s="157"/>
      <c r="B19" s="158"/>
      <c r="C19" s="159"/>
      <c r="D19" s="37">
        <f t="shared" si="1"/>
        <v>0</v>
      </c>
      <c r="E19" s="38"/>
      <c r="F19" s="162"/>
      <c r="G19" s="163"/>
      <c r="I19" s="111"/>
      <c r="J19" s="111"/>
      <c r="K19" s="111"/>
    </row>
    <row r="20" spans="1:11" s="156" customFormat="1" ht="18.95" customHeight="1" thickBot="1">
      <c r="A20" s="130">
        <f>SUM(A11:A19)</f>
        <v>36000000</v>
      </c>
      <c r="B20" s="130">
        <f>SUM(B11:B19)</f>
        <v>0</v>
      </c>
      <c r="C20" s="130">
        <f>SUM(C11:C19)</f>
        <v>36000000</v>
      </c>
      <c r="D20" s="130">
        <f>SUM(D11:D19)</f>
        <v>6944756.9500000002</v>
      </c>
      <c r="E20" s="155"/>
      <c r="F20" s="164"/>
      <c r="G20" s="129">
        <f>SUM(G11:G19)</f>
        <v>6944756.9500000002</v>
      </c>
      <c r="I20" s="147"/>
      <c r="J20" s="147"/>
      <c r="K20" s="147"/>
    </row>
    <row r="21" spans="1:11" s="110" customFormat="1" ht="21.75" customHeight="1" thickTop="1">
      <c r="A21" s="160"/>
      <c r="B21" s="39"/>
      <c r="C21" s="161"/>
      <c r="D21" s="23">
        <f>G21</f>
        <v>21294.240000000002</v>
      </c>
      <c r="E21" s="15" t="s">
        <v>162</v>
      </c>
      <c r="F21" s="17" t="s">
        <v>254</v>
      </c>
      <c r="G21" s="24">
        <v>21294.240000000002</v>
      </c>
      <c r="I21" s="111"/>
      <c r="J21" s="111"/>
      <c r="K21" s="111"/>
    </row>
    <row r="22" spans="1:11" s="110" customFormat="1" ht="18.95" customHeight="1">
      <c r="A22" s="122"/>
      <c r="B22" s="122"/>
      <c r="C22" s="122"/>
      <c r="D22" s="23">
        <f>G22</f>
        <v>0</v>
      </c>
      <c r="E22" s="15" t="s">
        <v>137</v>
      </c>
      <c r="F22" s="17" t="s">
        <v>255</v>
      </c>
      <c r="G22" s="24">
        <v>0</v>
      </c>
      <c r="I22" s="111"/>
      <c r="J22" s="111"/>
      <c r="K22" s="111"/>
    </row>
    <row r="23" spans="1:11" s="110" customFormat="1" ht="18.95" customHeight="1">
      <c r="A23" s="120"/>
      <c r="B23" s="120"/>
      <c r="C23" s="120"/>
      <c r="D23" s="26">
        <v>600</v>
      </c>
      <c r="E23" s="268" t="s">
        <v>257</v>
      </c>
      <c r="F23" s="17" t="s">
        <v>256</v>
      </c>
      <c r="G23" s="32">
        <v>600</v>
      </c>
      <c r="I23" s="111"/>
      <c r="J23" s="111"/>
      <c r="K23" s="111"/>
    </row>
    <row r="24" spans="1:11" s="110" customFormat="1" ht="18.95" customHeight="1">
      <c r="A24" s="122"/>
      <c r="B24" s="122"/>
      <c r="C24" s="122"/>
      <c r="D24" s="37">
        <v>1200</v>
      </c>
      <c r="E24" s="15" t="s">
        <v>99</v>
      </c>
      <c r="F24" s="17" t="s">
        <v>258</v>
      </c>
      <c r="G24" s="120">
        <v>1200</v>
      </c>
      <c r="I24" s="111"/>
      <c r="J24" s="111"/>
      <c r="K24" s="111"/>
    </row>
    <row r="25" spans="1:11" s="110" customFormat="1" ht="18.95" customHeight="1">
      <c r="A25" s="122"/>
      <c r="B25" s="122"/>
      <c r="C25" s="122"/>
      <c r="D25" s="37"/>
      <c r="E25" s="38"/>
      <c r="F25" s="121"/>
      <c r="G25" s="120"/>
      <c r="I25" s="111"/>
      <c r="J25" s="111"/>
      <c r="K25" s="111"/>
    </row>
    <row r="26" spans="1:11" s="110" customFormat="1" ht="18.95" customHeight="1">
      <c r="A26" s="122"/>
      <c r="B26" s="122"/>
      <c r="C26" s="122"/>
      <c r="D26" s="39"/>
      <c r="E26" s="38"/>
      <c r="F26" s="121"/>
      <c r="G26" s="120"/>
      <c r="I26" s="111"/>
      <c r="J26" s="111"/>
      <c r="K26" s="111"/>
    </row>
    <row r="27" spans="1:11" s="110" customFormat="1" ht="18.95" customHeight="1">
      <c r="A27" s="122"/>
      <c r="B27" s="122"/>
      <c r="C27" s="122"/>
      <c r="D27" s="39"/>
      <c r="E27" s="38"/>
      <c r="F27" s="121"/>
      <c r="G27" s="120"/>
      <c r="I27" s="111"/>
      <c r="J27" s="111"/>
      <c r="K27" s="111"/>
    </row>
    <row r="28" spans="1:11" s="110" customFormat="1" ht="18.95" customHeight="1">
      <c r="A28" s="122"/>
      <c r="B28" s="122"/>
      <c r="C28" s="122"/>
      <c r="D28" s="39"/>
      <c r="E28" s="38"/>
      <c r="F28" s="121"/>
      <c r="G28" s="120"/>
      <c r="I28" s="111"/>
      <c r="J28" s="111"/>
      <c r="K28" s="111"/>
    </row>
    <row r="29" spans="1:11" s="110" customFormat="1" ht="18.95" customHeight="1">
      <c r="A29" s="122"/>
      <c r="B29" s="122"/>
      <c r="C29" s="122"/>
      <c r="D29" s="39"/>
      <c r="E29" s="38"/>
      <c r="F29" s="121"/>
      <c r="G29" s="120"/>
      <c r="I29" s="111"/>
      <c r="J29" s="111"/>
      <c r="K29" s="111"/>
    </row>
    <row r="30" spans="1:11" ht="18.95" customHeight="1">
      <c r="A30" s="14"/>
      <c r="B30" s="14"/>
      <c r="C30" s="14"/>
      <c r="D30" s="23"/>
      <c r="E30" s="15"/>
      <c r="F30" s="17"/>
      <c r="G30" s="32"/>
    </row>
    <row r="31" spans="1:11" ht="18.95" customHeight="1">
      <c r="A31" s="14"/>
      <c r="B31" s="14"/>
      <c r="C31" s="14"/>
      <c r="D31" s="91"/>
      <c r="E31" s="15"/>
      <c r="F31" s="17"/>
      <c r="G31" s="32"/>
    </row>
    <row r="32" spans="1:11" ht="18.95" customHeight="1">
      <c r="A32" s="73"/>
      <c r="B32" s="22"/>
      <c r="C32" s="22"/>
      <c r="D32" s="35"/>
      <c r="E32" s="28"/>
      <c r="F32" s="20"/>
      <c r="G32" s="19"/>
    </row>
    <row r="33" spans="1:12" s="110" customFormat="1" ht="18.95" customHeight="1">
      <c r="A33" s="165"/>
      <c r="B33" s="165"/>
      <c r="C33" s="165"/>
      <c r="D33" s="166">
        <f>SUM(D20:D32)</f>
        <v>6967851.1900000004</v>
      </c>
      <c r="E33" s="167" t="s">
        <v>4</v>
      </c>
      <c r="F33" s="168"/>
      <c r="G33" s="169">
        <f>SUM(G20:G32)</f>
        <v>6967851.1900000004</v>
      </c>
      <c r="I33" s="111"/>
      <c r="J33" s="111"/>
      <c r="K33" s="111"/>
    </row>
    <row r="34" spans="1:12" ht="18.95" customHeight="1">
      <c r="A34" s="87"/>
      <c r="B34" s="87"/>
      <c r="C34" s="87"/>
      <c r="D34" s="106"/>
      <c r="E34" s="113"/>
      <c r="F34" s="88"/>
      <c r="G34" s="78"/>
      <c r="J34" s="30"/>
      <c r="K34" s="30"/>
      <c r="L34" s="31"/>
    </row>
    <row r="35" spans="1:12" ht="18.95" customHeight="1">
      <c r="A35" s="87"/>
      <c r="B35" s="87"/>
      <c r="C35" s="87"/>
      <c r="D35" s="106"/>
      <c r="E35" s="113"/>
      <c r="F35" s="88"/>
      <c r="G35" s="78"/>
      <c r="J35" s="30"/>
      <c r="K35" s="30"/>
      <c r="L35" s="31"/>
    </row>
    <row r="36" spans="1:12" ht="18.95" customHeight="1">
      <c r="A36" s="87"/>
      <c r="B36" s="87"/>
      <c r="C36" s="87"/>
      <c r="D36" s="106"/>
      <c r="E36" s="113"/>
      <c r="F36" s="88"/>
      <c r="G36" s="78"/>
      <c r="J36" s="30"/>
      <c r="K36" s="30"/>
      <c r="L36" s="31"/>
    </row>
    <row r="37" spans="1:12" ht="18.95" customHeight="1">
      <c r="A37" s="87"/>
      <c r="B37" s="87"/>
      <c r="C37" s="87"/>
      <c r="D37" s="106"/>
      <c r="E37" s="113"/>
      <c r="F37" s="88"/>
      <c r="G37" s="78"/>
      <c r="J37" s="30"/>
      <c r="K37" s="30"/>
      <c r="L37" s="31"/>
    </row>
    <row r="38" spans="1:12" ht="18.95" customHeight="1">
      <c r="A38" s="87"/>
      <c r="B38" s="87"/>
      <c r="C38" s="87"/>
      <c r="D38" s="106"/>
      <c r="E38" s="113"/>
      <c r="F38" s="88"/>
      <c r="G38" s="78"/>
      <c r="J38" s="30"/>
      <c r="K38" s="30"/>
      <c r="L38" s="31"/>
    </row>
    <row r="39" spans="1:12" ht="18.95" customHeight="1">
      <c r="A39" s="87"/>
      <c r="B39" s="87"/>
      <c r="C39" s="87"/>
      <c r="D39" s="106"/>
      <c r="E39" s="113"/>
      <c r="F39" s="88"/>
      <c r="G39" s="78"/>
      <c r="J39" s="30"/>
      <c r="K39" s="30"/>
      <c r="L39" s="31"/>
    </row>
    <row r="40" spans="1:12" ht="18.95" customHeight="1">
      <c r="A40" s="87"/>
      <c r="B40" s="87"/>
      <c r="C40" s="87"/>
      <c r="D40" s="106"/>
      <c r="E40" s="113"/>
      <c r="F40" s="88"/>
      <c r="G40" s="78"/>
      <c r="J40" s="30"/>
      <c r="K40" s="30"/>
      <c r="L40" s="31"/>
    </row>
    <row r="41" spans="1:12" ht="18.95" customHeight="1">
      <c r="A41" s="87"/>
      <c r="B41" s="87"/>
      <c r="C41" s="87"/>
      <c r="D41" s="106"/>
      <c r="E41" s="148"/>
      <c r="F41" s="88"/>
      <c r="G41" s="78"/>
      <c r="J41" s="30"/>
      <c r="K41" s="30"/>
      <c r="L41" s="31"/>
    </row>
    <row r="42" spans="1:12" ht="18.95" customHeight="1">
      <c r="A42" s="87"/>
      <c r="B42" s="87"/>
      <c r="C42" s="87"/>
      <c r="D42" s="106"/>
      <c r="E42" s="113"/>
      <c r="F42" s="88"/>
      <c r="G42" s="78"/>
      <c r="J42" s="30"/>
      <c r="K42" s="30"/>
      <c r="L42" s="31"/>
    </row>
    <row r="43" spans="1:12" ht="18.95" customHeight="1">
      <c r="A43" s="87"/>
      <c r="B43" s="87"/>
      <c r="C43" s="87"/>
      <c r="D43" s="106"/>
      <c r="E43" s="113"/>
      <c r="F43" s="88"/>
      <c r="G43" s="78"/>
      <c r="J43" s="30"/>
      <c r="K43" s="30"/>
      <c r="L43" s="31"/>
    </row>
    <row r="44" spans="1:12" ht="18.95" customHeight="1" thickBot="1">
      <c r="A44" s="87"/>
      <c r="B44" s="87"/>
      <c r="C44" s="87"/>
      <c r="D44" s="106"/>
      <c r="E44" s="113"/>
      <c r="F44" s="88"/>
      <c r="G44" s="78"/>
      <c r="J44" s="30"/>
      <c r="K44" s="30"/>
      <c r="L44" s="31"/>
    </row>
    <row r="45" spans="1:12" ht="18.95" customHeight="1" thickTop="1" thickBot="1">
      <c r="A45" s="300" t="s">
        <v>6</v>
      </c>
      <c r="B45" s="301"/>
      <c r="C45" s="301"/>
      <c r="D45" s="302"/>
      <c r="E45" s="4"/>
      <c r="F45" s="5" t="s">
        <v>16</v>
      </c>
      <c r="G45" s="125" t="s">
        <v>26</v>
      </c>
    </row>
    <row r="46" spans="1:12" ht="18.95" customHeight="1" thickTop="1">
      <c r="A46" s="118" t="s">
        <v>1</v>
      </c>
      <c r="B46" s="114" t="s">
        <v>93</v>
      </c>
      <c r="C46" s="114" t="s">
        <v>97</v>
      </c>
      <c r="D46" s="6" t="s">
        <v>7</v>
      </c>
      <c r="E46" s="4" t="s">
        <v>8</v>
      </c>
      <c r="F46" s="8" t="s">
        <v>17</v>
      </c>
      <c r="G46" s="115" t="s">
        <v>18</v>
      </c>
    </row>
    <row r="47" spans="1:12" ht="18.95" customHeight="1">
      <c r="A47" s="119" t="s">
        <v>96</v>
      </c>
      <c r="B47" s="9" t="s">
        <v>94</v>
      </c>
      <c r="C47" s="9" t="s">
        <v>96</v>
      </c>
      <c r="D47" s="116" t="s">
        <v>96</v>
      </c>
      <c r="E47" s="7"/>
      <c r="F47" s="8"/>
      <c r="G47" s="115" t="s">
        <v>98</v>
      </c>
    </row>
    <row r="48" spans="1:12" ht="18.95" customHeight="1" thickBot="1">
      <c r="A48" s="117"/>
      <c r="B48" s="13" t="s">
        <v>95</v>
      </c>
      <c r="C48" s="10"/>
      <c r="D48" s="112"/>
      <c r="E48" s="11"/>
      <c r="F48" s="12"/>
      <c r="G48" s="13" t="s">
        <v>96</v>
      </c>
    </row>
    <row r="49" spans="1:12" ht="18.95" customHeight="1" thickTop="1">
      <c r="A49" s="89"/>
      <c r="B49" s="89"/>
      <c r="C49" s="89"/>
      <c r="D49" s="92"/>
      <c r="E49" s="93" t="s">
        <v>31</v>
      </c>
      <c r="F49" s="94"/>
      <c r="G49" s="89"/>
      <c r="J49" s="75"/>
      <c r="K49" s="30"/>
      <c r="L49" s="31"/>
    </row>
    <row r="50" spans="1:12" ht="18.95" customHeight="1">
      <c r="A50" s="75">
        <v>11819940</v>
      </c>
      <c r="B50" s="75"/>
      <c r="C50" s="75">
        <f>SUM(A50)</f>
        <v>11819940</v>
      </c>
      <c r="D50" s="26">
        <f>G50</f>
        <v>252411</v>
      </c>
      <c r="E50" s="95" t="s">
        <v>99</v>
      </c>
      <c r="F50" s="17" t="s">
        <v>258</v>
      </c>
      <c r="G50" s="32">
        <f>252411</f>
        <v>252411</v>
      </c>
      <c r="J50" s="30">
        <f>SUM(A50)</f>
        <v>11819940</v>
      </c>
      <c r="K50" s="30"/>
      <c r="L50" s="31"/>
    </row>
    <row r="51" spans="1:12" ht="18.95" customHeight="1">
      <c r="A51" s="75">
        <v>2311920</v>
      </c>
      <c r="B51" s="75"/>
      <c r="C51" s="75">
        <f t="shared" ref="C51:C60" si="2">SUM(A51)</f>
        <v>2311920</v>
      </c>
      <c r="D51" s="26">
        <f t="shared" ref="D51:D60" si="3">G51</f>
        <v>185460</v>
      </c>
      <c r="E51" s="96" t="s">
        <v>100</v>
      </c>
      <c r="F51" s="17" t="s">
        <v>259</v>
      </c>
      <c r="G51" s="32">
        <v>185460</v>
      </c>
      <c r="J51" s="79"/>
      <c r="K51" s="30"/>
      <c r="L51" s="31"/>
    </row>
    <row r="52" spans="1:12" ht="18.95" customHeight="1">
      <c r="A52" s="75">
        <f>4208100+2188860+950340+1571400+1293060</f>
        <v>10211760</v>
      </c>
      <c r="B52" s="75"/>
      <c r="C52" s="75">
        <f t="shared" si="2"/>
        <v>10211760</v>
      </c>
      <c r="D52" s="26">
        <f t="shared" si="3"/>
        <v>614934</v>
      </c>
      <c r="E52" s="96" t="s">
        <v>101</v>
      </c>
      <c r="F52" s="17" t="s">
        <v>260</v>
      </c>
      <c r="G52" s="32">
        <v>614934</v>
      </c>
      <c r="J52" s="79">
        <f>SUM(A51:A52)</f>
        <v>12523680</v>
      </c>
      <c r="K52" s="30"/>
      <c r="L52" s="31"/>
    </row>
    <row r="53" spans="1:12" ht="18.95" customHeight="1">
      <c r="A53" s="75">
        <f>375160+190000+100000+23000+65000+40000</f>
        <v>793160</v>
      </c>
      <c r="B53" s="75"/>
      <c r="C53" s="75">
        <f t="shared" si="2"/>
        <v>793160</v>
      </c>
      <c r="D53" s="26">
        <f t="shared" si="3"/>
        <v>7530</v>
      </c>
      <c r="E53" s="96" t="s">
        <v>83</v>
      </c>
      <c r="F53" s="17" t="s">
        <v>261</v>
      </c>
      <c r="G53" s="32">
        <v>7530</v>
      </c>
      <c r="J53" s="30"/>
      <c r="K53" s="30"/>
      <c r="L53" s="31"/>
    </row>
    <row r="54" spans="1:12" ht="18.95" customHeight="1">
      <c r="A54" s="75">
        <f>855000+570000+60000+20000+39800+20000+90000+50000+265000+65000+770280+290000+80000+100000+396000</f>
        <v>3671080</v>
      </c>
      <c r="B54" s="75"/>
      <c r="C54" s="75">
        <f t="shared" si="2"/>
        <v>3671080</v>
      </c>
      <c r="D54" s="26">
        <f t="shared" si="3"/>
        <v>31920</v>
      </c>
      <c r="E54" s="96" t="s">
        <v>84</v>
      </c>
      <c r="F54" s="17" t="s">
        <v>262</v>
      </c>
      <c r="G54" s="32">
        <v>31920</v>
      </c>
      <c r="J54" s="30"/>
      <c r="K54" s="30"/>
      <c r="L54" s="31"/>
    </row>
    <row r="55" spans="1:12" ht="18.95" customHeight="1">
      <c r="A55" s="75">
        <f>395000+80000+20000+15000+125500+20000+50000+869840+60000+50000</f>
        <v>1685340</v>
      </c>
      <c r="B55" s="75"/>
      <c r="C55" s="75">
        <f t="shared" si="2"/>
        <v>1685340</v>
      </c>
      <c r="D55" s="26">
        <f t="shared" si="3"/>
        <v>8100</v>
      </c>
      <c r="E55" s="95" t="s">
        <v>85</v>
      </c>
      <c r="F55" s="17" t="s">
        <v>263</v>
      </c>
      <c r="G55" s="32">
        <v>8100</v>
      </c>
      <c r="J55" s="79"/>
      <c r="K55" s="30"/>
      <c r="L55" s="31"/>
    </row>
    <row r="56" spans="1:12" ht="18.95" customHeight="1">
      <c r="A56" s="75">
        <f>360000+10000+8000</f>
        <v>378000</v>
      </c>
      <c r="B56" s="75"/>
      <c r="C56" s="75">
        <f t="shared" si="2"/>
        <v>378000</v>
      </c>
      <c r="D56" s="26">
        <f t="shared" si="3"/>
        <v>13206.98</v>
      </c>
      <c r="E56" s="95" t="s">
        <v>86</v>
      </c>
      <c r="F56" s="17" t="s">
        <v>264</v>
      </c>
      <c r="G56" s="32">
        <v>13206.98</v>
      </c>
      <c r="J56" s="30">
        <f>SUM(A53:A56)</f>
        <v>6527580</v>
      </c>
      <c r="K56" s="30"/>
      <c r="L56" s="31"/>
    </row>
    <row r="57" spans="1:12" ht="18.95" customHeight="1">
      <c r="A57" s="75">
        <f>108000+15000+87900</f>
        <v>210900</v>
      </c>
      <c r="B57" s="75"/>
      <c r="C57" s="75">
        <f t="shared" si="2"/>
        <v>210900</v>
      </c>
      <c r="D57" s="26">
        <f t="shared" si="3"/>
        <v>0</v>
      </c>
      <c r="E57" s="95" t="s">
        <v>36</v>
      </c>
      <c r="F57" s="17" t="s">
        <v>265</v>
      </c>
      <c r="G57" s="32">
        <v>0</v>
      </c>
      <c r="J57" s="30"/>
      <c r="K57" s="30"/>
      <c r="L57" s="31"/>
    </row>
    <row r="58" spans="1:12" ht="18.95" customHeight="1">
      <c r="A58" s="75">
        <f>50000+3023800</f>
        <v>3073800</v>
      </c>
      <c r="B58" s="75"/>
      <c r="C58" s="75">
        <f t="shared" si="2"/>
        <v>3073800</v>
      </c>
      <c r="D58" s="26">
        <f t="shared" si="3"/>
        <v>0</v>
      </c>
      <c r="E58" s="95" t="s">
        <v>37</v>
      </c>
      <c r="F58" s="17" t="s">
        <v>266</v>
      </c>
      <c r="G58" s="32">
        <v>0</v>
      </c>
      <c r="J58" s="30">
        <f>SUM(A57:A58)</f>
        <v>3284700</v>
      </c>
      <c r="K58" s="30"/>
      <c r="L58" s="31"/>
    </row>
    <row r="59" spans="1:12" ht="18.95" customHeight="1" thickBot="1">
      <c r="A59" s="75">
        <f>25000</f>
        <v>25000</v>
      </c>
      <c r="B59" s="101"/>
      <c r="C59" s="75">
        <f t="shared" si="2"/>
        <v>25000</v>
      </c>
      <c r="D59" s="26">
        <f t="shared" si="3"/>
        <v>0</v>
      </c>
      <c r="E59" s="95" t="s">
        <v>102</v>
      </c>
      <c r="F59" s="17" t="s">
        <v>267</v>
      </c>
      <c r="G59" s="32">
        <v>0</v>
      </c>
      <c r="I59" s="102">
        <f>SUM(G50:G60)</f>
        <v>1113561.98</v>
      </c>
      <c r="J59" s="30">
        <f>SUM(A59)</f>
        <v>25000</v>
      </c>
      <c r="K59" s="30"/>
      <c r="L59" s="31"/>
    </row>
    <row r="60" spans="1:12" ht="18.95" customHeight="1" thickTop="1">
      <c r="A60" s="75">
        <f>180000+1288000+351100</f>
        <v>1819100</v>
      </c>
      <c r="B60" s="101"/>
      <c r="C60" s="75">
        <f t="shared" si="2"/>
        <v>1819100</v>
      </c>
      <c r="D60" s="26">
        <f t="shared" si="3"/>
        <v>0</v>
      </c>
      <c r="E60" s="170" t="s">
        <v>89</v>
      </c>
      <c r="F60" s="27" t="s">
        <v>268</v>
      </c>
      <c r="G60" s="24">
        <v>0</v>
      </c>
      <c r="J60" s="30">
        <f>SUM(A60)</f>
        <v>1819100</v>
      </c>
      <c r="K60" s="30"/>
      <c r="L60" s="31"/>
    </row>
    <row r="61" spans="1:12" s="110" customFormat="1" ht="18.95" customHeight="1" thickBot="1">
      <c r="A61" s="244">
        <f>SUM(A50:A60)</f>
        <v>36000000</v>
      </c>
      <c r="B61" s="176">
        <f>SUM(B50:B60)</f>
        <v>0</v>
      </c>
      <c r="C61" s="244">
        <f>SUM(C50:C60)</f>
        <v>36000000</v>
      </c>
      <c r="D61" s="176">
        <f>SUM(D50:D60)</f>
        <v>1113561.98</v>
      </c>
      <c r="E61" s="177"/>
      <c r="F61" s="178"/>
      <c r="G61" s="176">
        <f>SUM(G50:G60)</f>
        <v>1113561.98</v>
      </c>
      <c r="I61" s="111"/>
      <c r="J61" s="36">
        <f>SUM(J50:J60)</f>
        <v>36000000</v>
      </c>
      <c r="K61" s="36"/>
      <c r="L61" s="131"/>
    </row>
    <row r="62" spans="1:12" ht="18.95" customHeight="1" thickTop="1">
      <c r="A62" s="171"/>
      <c r="B62" s="171"/>
      <c r="C62" s="171"/>
      <c r="D62" s="23">
        <f>G62</f>
        <v>810700</v>
      </c>
      <c r="E62" s="21" t="s">
        <v>179</v>
      </c>
      <c r="F62" s="20" t="s">
        <v>256</v>
      </c>
      <c r="G62" s="172">
        <f>566000+243200+1500</f>
        <v>810700</v>
      </c>
      <c r="J62" s="30"/>
      <c r="K62" s="30"/>
      <c r="L62" s="31"/>
    </row>
    <row r="63" spans="1:12" ht="18.95" customHeight="1">
      <c r="A63" s="75"/>
      <c r="B63" s="32"/>
      <c r="C63" s="75"/>
      <c r="D63" s="23">
        <f>G63</f>
        <v>1186831.48</v>
      </c>
      <c r="E63" s="15" t="s">
        <v>180</v>
      </c>
      <c r="F63" s="25">
        <v>21010000</v>
      </c>
      <c r="G63" s="32">
        <v>1186831.48</v>
      </c>
      <c r="I63" s="98"/>
      <c r="J63" s="30"/>
      <c r="K63" s="30"/>
      <c r="L63" s="31"/>
    </row>
    <row r="64" spans="1:12" ht="18.95" customHeight="1">
      <c r="A64" s="75"/>
      <c r="B64" s="126"/>
      <c r="C64" s="75"/>
      <c r="D64" s="23">
        <f>G64</f>
        <v>20211.38</v>
      </c>
      <c r="E64" s="15" t="s">
        <v>181</v>
      </c>
      <c r="F64" s="17" t="s">
        <v>254</v>
      </c>
      <c r="G64" s="32">
        <v>20211.38</v>
      </c>
      <c r="J64" s="30"/>
      <c r="K64" s="30"/>
      <c r="L64" s="31"/>
    </row>
    <row r="65" spans="1:12" ht="18.95" customHeight="1">
      <c r="A65" s="75"/>
      <c r="B65" s="126"/>
      <c r="C65" s="75"/>
      <c r="D65" s="26"/>
      <c r="E65" s="15"/>
      <c r="F65" s="17"/>
      <c r="G65" s="32"/>
      <c r="J65" s="30"/>
      <c r="K65" s="30"/>
      <c r="L65" s="31"/>
    </row>
    <row r="66" spans="1:12" ht="18.95" customHeight="1">
      <c r="A66" s="75"/>
      <c r="B66" s="24"/>
      <c r="C66" s="75"/>
      <c r="D66" s="26"/>
      <c r="E66" s="15"/>
      <c r="F66" s="25"/>
      <c r="G66" s="32"/>
      <c r="I66" s="98"/>
      <c r="J66" s="30"/>
      <c r="K66" s="30"/>
      <c r="L66" s="31"/>
    </row>
    <row r="67" spans="1:12" ht="18.95" customHeight="1">
      <c r="A67" s="75"/>
      <c r="B67" s="32"/>
      <c r="C67" s="75"/>
      <c r="D67" s="26"/>
      <c r="E67" s="15"/>
      <c r="F67" s="25"/>
      <c r="G67" s="32"/>
      <c r="I67" s="98"/>
      <c r="J67" s="30"/>
      <c r="K67" s="30"/>
      <c r="L67" s="31"/>
    </row>
    <row r="68" spans="1:12" ht="18.95" customHeight="1">
      <c r="A68" s="14"/>
      <c r="B68" s="127"/>
      <c r="C68" s="127"/>
      <c r="D68" s="26">
        <v>0</v>
      </c>
      <c r="E68" s="128"/>
      <c r="F68" s="17"/>
      <c r="G68" s="32">
        <v>0</v>
      </c>
    </row>
    <row r="69" spans="1:12" ht="18.95" customHeight="1">
      <c r="A69" s="14"/>
      <c r="B69" s="127"/>
      <c r="C69" s="127"/>
      <c r="D69" s="26">
        <v>0</v>
      </c>
      <c r="E69" s="128"/>
      <c r="F69" s="17"/>
      <c r="G69" s="32">
        <v>0</v>
      </c>
    </row>
    <row r="70" spans="1:12" ht="18.95" customHeight="1">
      <c r="A70" s="14"/>
      <c r="B70" s="127"/>
      <c r="C70" s="127"/>
      <c r="D70" s="26">
        <v>0</v>
      </c>
      <c r="E70" s="128"/>
      <c r="F70" s="17"/>
      <c r="G70" s="32">
        <v>0</v>
      </c>
    </row>
    <row r="71" spans="1:12" ht="18.95" customHeight="1">
      <c r="A71" s="14"/>
      <c r="B71" s="127"/>
      <c r="C71" s="127"/>
      <c r="D71" s="26">
        <v>0</v>
      </c>
      <c r="E71" s="105"/>
      <c r="F71" s="17"/>
      <c r="G71" s="32">
        <v>0</v>
      </c>
    </row>
    <row r="72" spans="1:12" ht="18.95" customHeight="1">
      <c r="A72" s="123"/>
      <c r="B72" s="22"/>
      <c r="C72" s="22"/>
      <c r="D72" s="26">
        <v>0</v>
      </c>
      <c r="E72" s="133"/>
      <c r="F72" s="20"/>
      <c r="G72" s="19">
        <v>0</v>
      </c>
    </row>
    <row r="73" spans="1:12" ht="27" customHeight="1" thickBot="1">
      <c r="A73" s="179"/>
      <c r="B73" s="179"/>
      <c r="C73" s="179"/>
      <c r="D73" s="175">
        <f>SUM(D61:D72)</f>
        <v>3131304.84</v>
      </c>
      <c r="E73" s="180" t="s">
        <v>32</v>
      </c>
      <c r="F73" s="181"/>
      <c r="G73" s="182">
        <f>SUM(G61+G62+G63+G64+G65+G66+G67+G68)</f>
        <v>3131304.84</v>
      </c>
      <c r="J73" s="30"/>
      <c r="K73" s="30"/>
      <c r="L73" s="31"/>
    </row>
    <row r="74" spans="1:12" ht="22.5" customHeight="1" thickTop="1">
      <c r="A74" s="87"/>
      <c r="B74" s="87"/>
      <c r="C74" s="87"/>
      <c r="D74" s="245">
        <f>SUM(D33-D73)</f>
        <v>3836546.3500000006</v>
      </c>
      <c r="E74" s="107" t="s">
        <v>38</v>
      </c>
      <c r="F74" s="108"/>
      <c r="G74" s="100">
        <f>G33-G73</f>
        <v>3836546.3500000006</v>
      </c>
    </row>
    <row r="75" spans="1:12" ht="20.25" customHeight="1">
      <c r="A75" s="87"/>
      <c r="B75" s="87"/>
      <c r="C75" s="22"/>
      <c r="D75" s="26"/>
      <c r="E75" s="70" t="s">
        <v>187</v>
      </c>
      <c r="F75" s="108"/>
      <c r="G75" s="32"/>
    </row>
    <row r="76" spans="1:12" ht="21" customHeight="1">
      <c r="A76" s="42"/>
      <c r="B76" s="42"/>
      <c r="C76" s="97"/>
      <c r="E76" s="107" t="s">
        <v>103</v>
      </c>
      <c r="F76" s="108"/>
      <c r="G76" s="246"/>
    </row>
    <row r="77" spans="1:12" ht="21" customHeight="1" thickBot="1">
      <c r="A77" s="87"/>
      <c r="B77" s="87"/>
      <c r="C77" s="22"/>
      <c r="D77" s="34">
        <f>D9+D74</f>
        <v>24799543.82</v>
      </c>
      <c r="E77" s="107" t="s">
        <v>104</v>
      </c>
      <c r="F77" s="108"/>
      <c r="G77" s="34">
        <f>G9+G74</f>
        <v>24799543.82</v>
      </c>
      <c r="I77" s="187">
        <f>SUM(D77-G77)</f>
        <v>0</v>
      </c>
    </row>
    <row r="78" spans="1:12" ht="5.25" customHeight="1" thickTop="1">
      <c r="A78" s="87"/>
      <c r="B78" s="87"/>
      <c r="C78" s="87"/>
      <c r="D78" s="74"/>
      <c r="E78" s="113"/>
      <c r="F78" s="88"/>
      <c r="G78" s="78"/>
    </row>
    <row r="79" spans="1:12" ht="18.95" customHeight="1">
      <c r="A79" s="87" t="s">
        <v>19</v>
      </c>
      <c r="B79" s="87"/>
      <c r="C79" s="87"/>
      <c r="D79" s="74"/>
      <c r="E79" s="143"/>
      <c r="F79" s="88"/>
      <c r="G79" s="78"/>
    </row>
    <row r="80" spans="1:12" ht="20.25" customHeight="1">
      <c r="A80" s="87" t="s">
        <v>206</v>
      </c>
      <c r="B80" s="87"/>
      <c r="C80" s="87"/>
      <c r="D80" s="74"/>
      <c r="E80" s="143"/>
      <c r="F80" s="88"/>
      <c r="G80" s="78"/>
      <c r="I80" s="3">
        <v>24799523.82</v>
      </c>
      <c r="J80" s="3">
        <f>SUM(G77-I80)</f>
        <v>20</v>
      </c>
    </row>
    <row r="81" spans="1:7" ht="20.25" customHeight="1">
      <c r="A81" s="87"/>
      <c r="B81" s="87"/>
      <c r="C81" s="87"/>
      <c r="D81" s="74"/>
      <c r="E81" s="145"/>
      <c r="F81" s="88"/>
      <c r="G81" s="78"/>
    </row>
    <row r="82" spans="1:7" ht="21" customHeight="1">
      <c r="A82" s="87" t="s">
        <v>79</v>
      </c>
      <c r="B82" s="87"/>
      <c r="C82" s="87"/>
      <c r="D82" s="30"/>
      <c r="E82" s="77"/>
      <c r="F82" s="88"/>
      <c r="G82" s="42"/>
    </row>
    <row r="83" spans="1:7" ht="21" customHeight="1">
      <c r="A83" s="87"/>
      <c r="B83" s="87"/>
      <c r="C83" s="87"/>
      <c r="D83" s="30"/>
      <c r="E83" s="77"/>
      <c r="F83" s="88"/>
      <c r="G83" s="42"/>
    </row>
    <row r="84" spans="1:7" ht="23.25" customHeight="1">
      <c r="A84" s="87" t="s">
        <v>190</v>
      </c>
      <c r="B84" s="87"/>
      <c r="C84" s="87"/>
      <c r="D84" s="74"/>
      <c r="E84" s="143"/>
      <c r="F84" s="88"/>
      <c r="G84" s="78"/>
    </row>
    <row r="85" spans="1:7" ht="18.95" customHeight="1">
      <c r="A85" s="87" t="s">
        <v>186</v>
      </c>
      <c r="B85" s="87"/>
      <c r="C85" s="87"/>
      <c r="D85" s="74"/>
      <c r="E85" s="143"/>
      <c r="F85" s="88"/>
      <c r="G85" s="78"/>
    </row>
    <row r="89" spans="1:7" ht="18.95" customHeight="1">
      <c r="A89" s="303" t="s">
        <v>20</v>
      </c>
      <c r="B89" s="303"/>
      <c r="C89" s="303"/>
      <c r="D89" s="303"/>
      <c r="E89" s="303"/>
      <c r="F89" s="303"/>
      <c r="G89" s="303"/>
    </row>
    <row r="90" spans="1:7" ht="18.95" customHeight="1">
      <c r="A90" s="303" t="s">
        <v>92</v>
      </c>
      <c r="B90" s="303"/>
      <c r="C90" s="303"/>
      <c r="D90" s="303"/>
      <c r="E90" s="303"/>
      <c r="F90" s="303"/>
      <c r="G90" s="303"/>
    </row>
    <row r="91" spans="1:7" ht="18.95" customHeight="1">
      <c r="A91" s="303" t="s">
        <v>225</v>
      </c>
      <c r="B91" s="303"/>
      <c r="C91" s="303"/>
      <c r="D91" s="303"/>
      <c r="E91" s="303"/>
      <c r="F91" s="303"/>
      <c r="G91" s="303"/>
    </row>
    <row r="92" spans="1:7" ht="18.95" customHeight="1" thickBot="1">
      <c r="A92" s="304"/>
      <c r="B92" s="304"/>
      <c r="C92" s="304"/>
      <c r="D92" s="304"/>
      <c r="E92" s="304"/>
      <c r="F92" s="304"/>
      <c r="G92" s="304"/>
    </row>
    <row r="93" spans="1:7" ht="18.95" customHeight="1" thickTop="1" thickBot="1">
      <c r="A93" s="300" t="s">
        <v>6</v>
      </c>
      <c r="B93" s="301"/>
      <c r="C93" s="301"/>
      <c r="D93" s="302"/>
      <c r="E93" s="4"/>
      <c r="F93" s="5" t="s">
        <v>16</v>
      </c>
      <c r="G93" s="125" t="s">
        <v>26</v>
      </c>
    </row>
    <row r="94" spans="1:7" ht="18.95" customHeight="1" thickTop="1">
      <c r="A94" s="118" t="s">
        <v>1</v>
      </c>
      <c r="B94" s="114" t="s">
        <v>93</v>
      </c>
      <c r="C94" s="114" t="s">
        <v>97</v>
      </c>
      <c r="D94" s="6" t="s">
        <v>7</v>
      </c>
      <c r="E94" s="4" t="s">
        <v>8</v>
      </c>
      <c r="F94" s="8" t="s">
        <v>17</v>
      </c>
      <c r="G94" s="115" t="s">
        <v>18</v>
      </c>
    </row>
    <row r="95" spans="1:7" ht="18.95" customHeight="1">
      <c r="A95" s="119" t="s">
        <v>96</v>
      </c>
      <c r="B95" s="9" t="s">
        <v>94</v>
      </c>
      <c r="C95" s="9" t="s">
        <v>96</v>
      </c>
      <c r="D95" s="116" t="s">
        <v>96</v>
      </c>
      <c r="E95" s="7"/>
      <c r="F95" s="8"/>
      <c r="G95" s="115" t="s">
        <v>98</v>
      </c>
    </row>
    <row r="96" spans="1:7" ht="18.95" customHeight="1" thickBot="1">
      <c r="A96" s="117"/>
      <c r="B96" s="13" t="s">
        <v>95</v>
      </c>
      <c r="C96" s="10"/>
      <c r="D96" s="235"/>
      <c r="E96" s="11"/>
      <c r="F96" s="12"/>
      <c r="G96" s="13" t="s">
        <v>96</v>
      </c>
    </row>
    <row r="97" spans="1:11" s="150" customFormat="1" ht="18.95" customHeight="1" thickTop="1" thickBot="1">
      <c r="A97" s="149"/>
      <c r="B97" s="149"/>
      <c r="C97" s="149"/>
      <c r="D97" s="154">
        <f>20962997.47</f>
        <v>20962997.469999999</v>
      </c>
      <c r="E97" s="152" t="s">
        <v>3</v>
      </c>
      <c r="F97" s="153"/>
      <c r="G97" s="34">
        <f>SUM(G77)</f>
        <v>24799543.82</v>
      </c>
      <c r="I97" s="151"/>
      <c r="J97" s="151"/>
      <c r="K97" s="151"/>
    </row>
    <row r="98" spans="1:11" ht="18.95" customHeight="1" thickTop="1">
      <c r="A98" s="14"/>
      <c r="B98" s="14"/>
      <c r="C98" s="14"/>
      <c r="D98" s="15"/>
      <c r="E98" s="16" t="s">
        <v>68</v>
      </c>
      <c r="F98" s="17"/>
      <c r="G98" s="14"/>
    </row>
    <row r="99" spans="1:11" s="110" customFormat="1" ht="18.95" customHeight="1">
      <c r="A99" s="255">
        <f>C99</f>
        <v>186000</v>
      </c>
      <c r="B99" s="32"/>
      <c r="C99" s="255">
        <v>186000</v>
      </c>
      <c r="D99" s="32">
        <f>497.26</f>
        <v>497.26</v>
      </c>
      <c r="E99" s="15" t="s">
        <v>9</v>
      </c>
      <c r="F99" s="121" t="s">
        <v>246</v>
      </c>
      <c r="G99" s="32">
        <v>0</v>
      </c>
      <c r="I99" s="111"/>
      <c r="J99" s="111"/>
      <c r="K99" s="111"/>
    </row>
    <row r="100" spans="1:11" s="110" customFormat="1" ht="18.95" customHeight="1">
      <c r="A100" s="255">
        <f>C100</f>
        <v>113500</v>
      </c>
      <c r="B100" s="32"/>
      <c r="C100" s="255">
        <v>113500</v>
      </c>
      <c r="D100" s="32">
        <f>55+20+200+50+11562</f>
        <v>11887</v>
      </c>
      <c r="E100" s="15" t="s">
        <v>10</v>
      </c>
      <c r="F100" s="121" t="s">
        <v>247</v>
      </c>
      <c r="G100" s="32">
        <f>27+10+11500+25</f>
        <v>11562</v>
      </c>
      <c r="I100" s="111"/>
      <c r="J100" s="111"/>
      <c r="K100" s="111"/>
    </row>
    <row r="101" spans="1:11" s="110" customFormat="1" ht="18.95" customHeight="1">
      <c r="A101" s="255">
        <f>C101</f>
        <v>100000</v>
      </c>
      <c r="B101" s="32"/>
      <c r="C101" s="255">
        <v>100000</v>
      </c>
      <c r="D101" s="32">
        <v>0</v>
      </c>
      <c r="E101" s="15" t="s">
        <v>11</v>
      </c>
      <c r="F101" s="121" t="s">
        <v>248</v>
      </c>
      <c r="G101" s="32">
        <v>0</v>
      </c>
      <c r="I101" s="111"/>
      <c r="J101" s="111"/>
      <c r="K101" s="111"/>
    </row>
    <row r="102" spans="1:11" s="110" customFormat="1" ht="18.95" customHeight="1">
      <c r="A102" s="255">
        <v>0</v>
      </c>
      <c r="B102" s="32"/>
      <c r="C102" s="255">
        <f>SUM(A102:B102)</f>
        <v>0</v>
      </c>
      <c r="D102" s="32">
        <v>0</v>
      </c>
      <c r="E102" s="15" t="s">
        <v>12</v>
      </c>
      <c r="F102" s="121" t="s">
        <v>249</v>
      </c>
      <c r="G102" s="32">
        <v>0</v>
      </c>
      <c r="I102" s="111"/>
      <c r="J102" s="111"/>
      <c r="K102" s="111"/>
    </row>
    <row r="103" spans="1:11" s="110" customFormat="1" ht="18.95" customHeight="1">
      <c r="A103" s="255">
        <f>C103</f>
        <v>10500</v>
      </c>
      <c r="B103" s="32"/>
      <c r="C103" s="255">
        <v>10500</v>
      </c>
      <c r="D103" s="32">
        <v>2000</v>
      </c>
      <c r="E103" s="15" t="s">
        <v>13</v>
      </c>
      <c r="F103" s="121" t="s">
        <v>250</v>
      </c>
      <c r="G103" s="32">
        <v>0</v>
      </c>
      <c r="I103" s="111"/>
      <c r="J103" s="111"/>
      <c r="K103" s="111"/>
    </row>
    <row r="104" spans="1:11" s="110" customFormat="1" ht="18.95" customHeight="1">
      <c r="A104" s="255">
        <v>0</v>
      </c>
      <c r="B104" s="32"/>
      <c r="C104" s="255">
        <f>SUM(A104:B104)</f>
        <v>0</v>
      </c>
      <c r="D104" s="32">
        <v>0</v>
      </c>
      <c r="E104" s="15" t="s">
        <v>14</v>
      </c>
      <c r="F104" s="121" t="s">
        <v>251</v>
      </c>
      <c r="G104" s="32">
        <v>0</v>
      </c>
      <c r="I104" s="111"/>
      <c r="J104" s="111"/>
      <c r="K104" s="111"/>
    </row>
    <row r="105" spans="1:11" s="110" customFormat="1" ht="18.95" customHeight="1">
      <c r="A105" s="255">
        <f>C105</f>
        <v>15590000</v>
      </c>
      <c r="B105" s="32"/>
      <c r="C105" s="255">
        <v>15590000</v>
      </c>
      <c r="D105" s="32">
        <f>807681.19+136065.98+375552.6+11585.92+44513+1553344.35</f>
        <v>2928743.04</v>
      </c>
      <c r="E105" s="15" t="s">
        <v>15</v>
      </c>
      <c r="F105" s="121" t="s">
        <v>252</v>
      </c>
      <c r="G105" s="32">
        <f>99258.32+829775.19+193008.11+21094.12+367217.61+42991</f>
        <v>1553344.35</v>
      </c>
      <c r="I105" s="111"/>
      <c r="J105" s="111"/>
      <c r="K105" s="111"/>
    </row>
    <row r="106" spans="1:11" s="110" customFormat="1" ht="18.95" customHeight="1">
      <c r="A106" s="255">
        <v>20000000</v>
      </c>
      <c r="B106" s="32"/>
      <c r="C106" s="255">
        <f>SUM(A106:B106)</f>
        <v>20000000</v>
      </c>
      <c r="D106" s="32">
        <v>5566536</v>
      </c>
      <c r="E106" s="15" t="s">
        <v>52</v>
      </c>
      <c r="F106" s="121" t="s">
        <v>253</v>
      </c>
      <c r="G106" s="32">
        <v>0</v>
      </c>
      <c r="I106" s="111"/>
      <c r="J106" s="147">
        <f>SUM(G99:G106)</f>
        <v>1564906.35</v>
      </c>
      <c r="K106" s="147" t="s">
        <v>159</v>
      </c>
    </row>
    <row r="107" spans="1:11" s="110" customFormat="1" ht="18.95" customHeight="1">
      <c r="A107" s="256"/>
      <c r="B107" s="33"/>
      <c r="C107" s="257"/>
      <c r="D107" s="24"/>
      <c r="E107" s="15"/>
      <c r="F107" s="162"/>
      <c r="G107" s="24"/>
      <c r="I107" s="111"/>
      <c r="J107" s="111"/>
      <c r="K107" s="111"/>
    </row>
    <row r="108" spans="1:11" s="156" customFormat="1" ht="18.95" customHeight="1" thickBot="1">
      <c r="A108" s="182">
        <f>SUM(A99:A107)</f>
        <v>36000000</v>
      </c>
      <c r="B108" s="182">
        <f>SUM(B99:B107)</f>
        <v>0</v>
      </c>
      <c r="C108" s="182">
        <f>SUM(C99:C107)</f>
        <v>36000000</v>
      </c>
      <c r="D108" s="175">
        <f>SUM(D99:D107)</f>
        <v>8509663.3000000007</v>
      </c>
      <c r="E108" s="258"/>
      <c r="F108" s="164"/>
      <c r="G108" s="175">
        <f>SUM(G99:G107)</f>
        <v>1564906.35</v>
      </c>
      <c r="I108" s="147"/>
      <c r="J108" s="147"/>
      <c r="K108" s="147"/>
    </row>
    <row r="109" spans="1:11" s="110" customFormat="1" ht="21.75" customHeight="1" thickTop="1">
      <c r="A109" s="259"/>
      <c r="B109" s="23"/>
      <c r="C109" s="260"/>
      <c r="D109" s="23">
        <v>40510.97</v>
      </c>
      <c r="E109" s="15" t="s">
        <v>162</v>
      </c>
      <c r="F109" s="17" t="s">
        <v>254</v>
      </c>
      <c r="G109" s="24">
        <v>19216.73</v>
      </c>
      <c r="I109" s="111"/>
      <c r="J109" s="111"/>
      <c r="K109" s="111"/>
    </row>
    <row r="110" spans="1:11" s="110" customFormat="1" ht="18.95" customHeight="1">
      <c r="A110" s="14"/>
      <c r="B110" s="14"/>
      <c r="C110" s="14"/>
      <c r="D110" s="23">
        <v>0</v>
      </c>
      <c r="E110" s="15" t="s">
        <v>137</v>
      </c>
      <c r="F110" s="17" t="s">
        <v>255</v>
      </c>
      <c r="G110" s="24">
        <v>0</v>
      </c>
      <c r="I110" s="111"/>
      <c r="J110" s="111"/>
      <c r="K110" s="111"/>
    </row>
    <row r="111" spans="1:11" s="110" customFormat="1" ht="18.95" customHeight="1">
      <c r="A111" s="32"/>
      <c r="B111" s="32"/>
      <c r="C111" s="32"/>
      <c r="D111" s="26">
        <f>600+800</f>
        <v>1400</v>
      </c>
      <c r="E111" s="173" t="s">
        <v>189</v>
      </c>
      <c r="F111" s="17" t="s">
        <v>256</v>
      </c>
      <c r="G111" s="24">
        <v>800</v>
      </c>
      <c r="I111" s="111"/>
      <c r="J111" s="111"/>
      <c r="K111" s="111"/>
    </row>
    <row r="112" spans="1:11" s="110" customFormat="1" ht="18.95" customHeight="1">
      <c r="A112" s="14"/>
      <c r="B112" s="14"/>
      <c r="C112" s="14"/>
      <c r="D112" s="37">
        <f>1200+600</f>
        <v>1800</v>
      </c>
      <c r="E112" s="15" t="s">
        <v>99</v>
      </c>
      <c r="F112" s="121" t="s">
        <v>258</v>
      </c>
      <c r="G112" s="32">
        <v>600</v>
      </c>
      <c r="I112" s="111"/>
      <c r="J112" s="111"/>
      <c r="K112" s="111"/>
    </row>
    <row r="113" spans="1:12" s="110" customFormat="1" ht="18.95" customHeight="1">
      <c r="A113" s="14"/>
      <c r="B113" s="14"/>
      <c r="C113" s="14"/>
      <c r="D113" s="26"/>
      <c r="E113" s="15"/>
      <c r="F113" s="17"/>
      <c r="G113" s="32"/>
      <c r="I113" s="111"/>
      <c r="J113" s="111"/>
      <c r="K113" s="111"/>
    </row>
    <row r="114" spans="1:12" s="110" customFormat="1" ht="18.95" customHeight="1">
      <c r="A114" s="14"/>
      <c r="B114" s="14"/>
      <c r="C114" s="14"/>
      <c r="D114" s="23"/>
      <c r="E114" s="15"/>
      <c r="F114" s="17"/>
      <c r="G114" s="32"/>
      <c r="I114" s="111"/>
      <c r="J114" s="111"/>
      <c r="K114" s="111"/>
    </row>
    <row r="115" spans="1:12" s="110" customFormat="1" ht="18.95" customHeight="1">
      <c r="A115" s="14"/>
      <c r="B115" s="14"/>
      <c r="C115" s="14"/>
      <c r="D115" s="23"/>
      <c r="E115" s="15"/>
      <c r="F115" s="17"/>
      <c r="G115" s="32"/>
      <c r="I115" s="111"/>
      <c r="J115" s="111"/>
      <c r="K115" s="111"/>
    </row>
    <row r="116" spans="1:12" s="110" customFormat="1" ht="18.95" customHeight="1">
      <c r="A116" s="14"/>
      <c r="B116" s="14"/>
      <c r="C116" s="14"/>
      <c r="D116" s="23"/>
      <c r="E116" s="15"/>
      <c r="F116" s="17"/>
      <c r="G116" s="32"/>
      <c r="I116" s="111"/>
      <c r="J116" s="111"/>
      <c r="K116" s="111"/>
    </row>
    <row r="117" spans="1:12" s="110" customFormat="1" ht="18.95" customHeight="1">
      <c r="A117" s="14"/>
      <c r="B117" s="14"/>
      <c r="C117" s="14"/>
      <c r="D117" s="23"/>
      <c r="E117" s="15"/>
      <c r="F117" s="17"/>
      <c r="G117" s="32"/>
      <c r="I117" s="111"/>
      <c r="J117" s="111"/>
      <c r="K117" s="111"/>
    </row>
    <row r="118" spans="1:12" ht="18.95" customHeight="1">
      <c r="A118" s="14"/>
      <c r="B118" s="14"/>
      <c r="C118" s="14"/>
      <c r="D118" s="23"/>
      <c r="E118" s="15"/>
      <c r="F118" s="17"/>
      <c r="G118" s="32"/>
    </row>
    <row r="119" spans="1:12" ht="18.95" customHeight="1">
      <c r="A119" s="14"/>
      <c r="B119" s="14"/>
      <c r="C119" s="14"/>
      <c r="D119" s="91"/>
      <c r="E119" s="15"/>
      <c r="F119" s="17"/>
      <c r="G119" s="32"/>
    </row>
    <row r="120" spans="1:12" ht="18.95" customHeight="1">
      <c r="A120" s="73"/>
      <c r="B120" s="22"/>
      <c r="C120" s="22"/>
      <c r="D120" s="35"/>
      <c r="E120" s="28"/>
      <c r="F120" s="20"/>
      <c r="G120" s="19"/>
    </row>
    <row r="121" spans="1:12" s="110" customFormat="1" ht="18.95" customHeight="1">
      <c r="A121" s="179"/>
      <c r="B121" s="179"/>
      <c r="C121" s="179"/>
      <c r="D121" s="66">
        <f>SUM(D108:D120)</f>
        <v>8553374.2700000014</v>
      </c>
      <c r="E121" s="72" t="s">
        <v>4</v>
      </c>
      <c r="F121" s="261"/>
      <c r="G121" s="262">
        <f>SUM(G108:G120)</f>
        <v>1585523.08</v>
      </c>
      <c r="I121" s="111"/>
      <c r="J121" s="111"/>
      <c r="K121" s="111"/>
    </row>
    <row r="122" spans="1:12" ht="18.95" customHeight="1">
      <c r="A122" s="87"/>
      <c r="B122" s="87"/>
      <c r="C122" s="87"/>
      <c r="D122" s="106"/>
      <c r="E122" s="236"/>
      <c r="F122" s="88"/>
      <c r="G122" s="78"/>
      <c r="J122" s="30"/>
      <c r="K122" s="30"/>
      <c r="L122" s="31"/>
    </row>
    <row r="123" spans="1:12" ht="18.95" customHeight="1">
      <c r="A123" s="87"/>
      <c r="B123" s="87"/>
      <c r="C123" s="87"/>
      <c r="D123" s="106"/>
      <c r="E123" s="236"/>
      <c r="F123" s="88"/>
      <c r="G123" s="78"/>
      <c r="J123" s="30"/>
      <c r="K123" s="30"/>
      <c r="L123" s="31"/>
    </row>
    <row r="124" spans="1:12" ht="18.95" customHeight="1">
      <c r="A124" s="87"/>
      <c r="B124" s="87"/>
      <c r="C124" s="87"/>
      <c r="D124" s="106"/>
      <c r="E124" s="236"/>
      <c r="F124" s="88"/>
      <c r="G124" s="78"/>
      <c r="J124" s="30"/>
      <c r="K124" s="30"/>
      <c r="L124" s="31"/>
    </row>
    <row r="125" spans="1:12" ht="18.95" customHeight="1">
      <c r="A125" s="87"/>
      <c r="B125" s="87"/>
      <c r="C125" s="87"/>
      <c r="D125" s="106"/>
      <c r="E125" s="236"/>
      <c r="F125" s="88"/>
      <c r="G125" s="78"/>
      <c r="J125" s="30"/>
      <c r="K125" s="30"/>
      <c r="L125" s="31"/>
    </row>
    <row r="126" spans="1:12" ht="18.95" customHeight="1">
      <c r="A126" s="87"/>
      <c r="B126" s="87"/>
      <c r="C126" s="87"/>
      <c r="D126" s="106"/>
      <c r="E126" s="236"/>
      <c r="F126" s="88"/>
      <c r="G126" s="78"/>
      <c r="J126" s="30"/>
      <c r="K126" s="30"/>
      <c r="L126" s="31"/>
    </row>
    <row r="127" spans="1:12" ht="18.95" customHeight="1">
      <c r="A127" s="87"/>
      <c r="B127" s="87"/>
      <c r="C127" s="87"/>
      <c r="D127" s="106"/>
      <c r="E127" s="236"/>
      <c r="F127" s="88"/>
      <c r="G127" s="78"/>
      <c r="J127" s="30"/>
      <c r="K127" s="30"/>
      <c r="L127" s="31"/>
    </row>
    <row r="128" spans="1:12" ht="18.95" customHeight="1">
      <c r="A128" s="87"/>
      <c r="B128" s="87"/>
      <c r="C128" s="87"/>
      <c r="D128" s="106"/>
      <c r="E128" s="236"/>
      <c r="F128" s="88"/>
      <c r="G128" s="78"/>
      <c r="J128" s="30"/>
      <c r="K128" s="30"/>
      <c r="L128" s="31"/>
    </row>
    <row r="129" spans="1:12" ht="18.95" customHeight="1">
      <c r="A129" s="87"/>
      <c r="B129" s="87"/>
      <c r="C129" s="87"/>
      <c r="D129" s="106"/>
      <c r="E129" s="236"/>
      <c r="F129" s="88"/>
      <c r="G129" s="78"/>
      <c r="J129" s="30"/>
      <c r="K129" s="30"/>
      <c r="L129" s="31"/>
    </row>
    <row r="130" spans="1:12" ht="18.95" customHeight="1">
      <c r="A130" s="87"/>
      <c r="B130" s="87"/>
      <c r="C130" s="87"/>
      <c r="D130" s="106"/>
      <c r="E130" s="236"/>
      <c r="F130" s="88"/>
      <c r="G130" s="78"/>
      <c r="J130" s="30"/>
      <c r="K130" s="30"/>
      <c r="L130" s="31"/>
    </row>
    <row r="131" spans="1:12" ht="18.95" customHeight="1">
      <c r="A131" s="87"/>
      <c r="B131" s="87"/>
      <c r="C131" s="87"/>
      <c r="D131" s="106"/>
      <c r="E131" s="236"/>
      <c r="F131" s="88"/>
      <c r="G131" s="78"/>
      <c r="J131" s="30"/>
      <c r="K131" s="30"/>
      <c r="L131" s="31"/>
    </row>
    <row r="132" spans="1:12" ht="18.95" customHeight="1" thickBot="1">
      <c r="A132" s="87"/>
      <c r="B132" s="87"/>
      <c r="C132" s="87"/>
      <c r="D132" s="106"/>
      <c r="E132" s="236"/>
      <c r="F132" s="88"/>
      <c r="G132" s="78"/>
      <c r="J132" s="30"/>
      <c r="K132" s="30"/>
      <c r="L132" s="31"/>
    </row>
    <row r="133" spans="1:12" ht="18.95" customHeight="1" thickTop="1" thickBot="1">
      <c r="A133" s="300" t="s">
        <v>6</v>
      </c>
      <c r="B133" s="301"/>
      <c r="C133" s="301"/>
      <c r="D133" s="302"/>
      <c r="E133" s="4"/>
      <c r="F133" s="5" t="s">
        <v>16</v>
      </c>
      <c r="G133" s="125" t="s">
        <v>26</v>
      </c>
    </row>
    <row r="134" spans="1:12" ht="18.95" customHeight="1" thickTop="1">
      <c r="A134" s="118" t="s">
        <v>1</v>
      </c>
      <c r="B134" s="114" t="s">
        <v>93</v>
      </c>
      <c r="C134" s="114" t="s">
        <v>97</v>
      </c>
      <c r="D134" s="6" t="s">
        <v>7</v>
      </c>
      <c r="E134" s="4" t="s">
        <v>8</v>
      </c>
      <c r="F134" s="8" t="s">
        <v>17</v>
      </c>
      <c r="G134" s="115" t="s">
        <v>18</v>
      </c>
    </row>
    <row r="135" spans="1:12" ht="18.95" customHeight="1">
      <c r="A135" s="119" t="s">
        <v>96</v>
      </c>
      <c r="B135" s="9" t="s">
        <v>94</v>
      </c>
      <c r="C135" s="9" t="s">
        <v>96</v>
      </c>
      <c r="D135" s="116" t="s">
        <v>96</v>
      </c>
      <c r="E135" s="7"/>
      <c r="F135" s="8"/>
      <c r="G135" s="115" t="s">
        <v>98</v>
      </c>
    </row>
    <row r="136" spans="1:12" ht="18.95" customHeight="1" thickBot="1">
      <c r="A136" s="117"/>
      <c r="B136" s="13" t="s">
        <v>95</v>
      </c>
      <c r="C136" s="10"/>
      <c r="D136" s="235"/>
      <c r="E136" s="11"/>
      <c r="F136" s="12"/>
      <c r="G136" s="13" t="s">
        <v>96</v>
      </c>
    </row>
    <row r="137" spans="1:12" ht="18.95" customHeight="1" thickTop="1">
      <c r="A137" s="89"/>
      <c r="B137" s="89"/>
      <c r="C137" s="89"/>
      <c r="D137" s="92"/>
      <c r="E137" s="93" t="s">
        <v>31</v>
      </c>
      <c r="F137" s="94"/>
      <c r="G137" s="89"/>
      <c r="J137" s="75"/>
      <c r="K137" s="30"/>
      <c r="L137" s="31"/>
    </row>
    <row r="138" spans="1:12" ht="18.95" customHeight="1">
      <c r="A138" s="75">
        <v>11819940</v>
      </c>
      <c r="B138" s="75"/>
      <c r="C138" s="75">
        <f>SUM(A138)</f>
        <v>11819940</v>
      </c>
      <c r="D138" s="32">
        <f>252411+99150</f>
        <v>351561</v>
      </c>
      <c r="E138" s="95" t="s">
        <v>99</v>
      </c>
      <c r="F138" s="17" t="s">
        <v>258</v>
      </c>
      <c r="G138" s="32">
        <v>99150</v>
      </c>
      <c r="J138" s="30">
        <f>SUM(A138)</f>
        <v>11819940</v>
      </c>
      <c r="K138" s="30"/>
      <c r="L138" s="31"/>
    </row>
    <row r="139" spans="1:12" ht="18.95" customHeight="1">
      <c r="A139" s="75">
        <v>2311920</v>
      </c>
      <c r="B139" s="75"/>
      <c r="C139" s="75">
        <f t="shared" ref="C139:C148" si="4">SUM(A139)</f>
        <v>2311920</v>
      </c>
      <c r="D139" s="32">
        <f>185460+185460</f>
        <v>370920</v>
      </c>
      <c r="E139" s="96" t="s">
        <v>100</v>
      </c>
      <c r="F139" s="17" t="s">
        <v>259</v>
      </c>
      <c r="G139" s="32">
        <v>185460</v>
      </c>
      <c r="J139" s="79"/>
      <c r="K139" s="30"/>
      <c r="L139" s="31"/>
    </row>
    <row r="140" spans="1:12" ht="18.95" customHeight="1">
      <c r="A140" s="75">
        <f>4208100+2188860+950340+1571400+1293060</f>
        <v>10211760</v>
      </c>
      <c r="B140" s="75"/>
      <c r="C140" s="75">
        <f t="shared" si="4"/>
        <v>10211760</v>
      </c>
      <c r="D140" s="32">
        <f>614934+624105</f>
        <v>1239039</v>
      </c>
      <c r="E140" s="96" t="s">
        <v>101</v>
      </c>
      <c r="F140" s="17" t="s">
        <v>260</v>
      </c>
      <c r="G140" s="32">
        <v>624105</v>
      </c>
      <c r="J140" s="79">
        <f>SUM(A139:A140)</f>
        <v>12523680</v>
      </c>
      <c r="K140" s="30"/>
      <c r="L140" s="31"/>
    </row>
    <row r="141" spans="1:12" ht="18.95" customHeight="1">
      <c r="A141" s="75">
        <f>375160+190000+100000+23000+65000+40000</f>
        <v>793160</v>
      </c>
      <c r="B141" s="75"/>
      <c r="C141" s="75">
        <f t="shared" si="4"/>
        <v>793160</v>
      </c>
      <c r="D141" s="32">
        <f>7530+15764</f>
        <v>23294</v>
      </c>
      <c r="E141" s="96" t="s">
        <v>83</v>
      </c>
      <c r="F141" s="17" t="s">
        <v>261</v>
      </c>
      <c r="G141" s="32">
        <v>15764</v>
      </c>
      <c r="J141" s="30"/>
      <c r="K141" s="30"/>
      <c r="L141" s="31"/>
    </row>
    <row r="142" spans="1:12" ht="18.95" customHeight="1">
      <c r="A142" s="75">
        <f>855000+570000+60000+20000+39800+20000+90000+50000+265000+65000+770280+290000+80000+100000+396000</f>
        <v>3671080</v>
      </c>
      <c r="B142" s="75"/>
      <c r="C142" s="75">
        <f t="shared" si="4"/>
        <v>3671080</v>
      </c>
      <c r="D142" s="32">
        <f>31920+280268</f>
        <v>312188</v>
      </c>
      <c r="E142" s="96" t="s">
        <v>84</v>
      </c>
      <c r="F142" s="17" t="s">
        <v>262</v>
      </c>
      <c r="G142" s="32">
        <v>280268</v>
      </c>
      <c r="J142" s="30"/>
      <c r="K142" s="30"/>
      <c r="L142" s="31"/>
    </row>
    <row r="143" spans="1:12" ht="18.95" customHeight="1">
      <c r="A143" s="75">
        <f>395000+80000+20000+15000+125500+20000+50000+869840+60000+50000</f>
        <v>1685340</v>
      </c>
      <c r="B143" s="75"/>
      <c r="C143" s="75">
        <f t="shared" si="4"/>
        <v>1685340</v>
      </c>
      <c r="D143" s="32">
        <f>8100+78208.44</f>
        <v>86308.44</v>
      </c>
      <c r="E143" s="95" t="s">
        <v>85</v>
      </c>
      <c r="F143" s="17" t="s">
        <v>263</v>
      </c>
      <c r="G143" s="32">
        <v>78208.44</v>
      </c>
      <c r="J143" s="79"/>
      <c r="K143" s="30"/>
      <c r="L143" s="31"/>
    </row>
    <row r="144" spans="1:12" ht="18.95" customHeight="1">
      <c r="A144" s="75">
        <f>360000+10000+8000</f>
        <v>378000</v>
      </c>
      <c r="B144" s="75"/>
      <c r="C144" s="75">
        <f t="shared" si="4"/>
        <v>378000</v>
      </c>
      <c r="D144" s="32">
        <f>13206.98+26442.49</f>
        <v>39649.47</v>
      </c>
      <c r="E144" s="95" t="s">
        <v>86</v>
      </c>
      <c r="F144" s="17" t="s">
        <v>264</v>
      </c>
      <c r="G144" s="32">
        <v>26442.49</v>
      </c>
      <c r="J144" s="30">
        <f>SUM(A141:A144)</f>
        <v>6527580</v>
      </c>
      <c r="K144" s="30"/>
      <c r="L144" s="31"/>
    </row>
    <row r="145" spans="1:12" ht="18.95" customHeight="1">
      <c r="A145" s="75">
        <f>108000+15000+87900</f>
        <v>210900</v>
      </c>
      <c r="B145" s="75"/>
      <c r="C145" s="75">
        <f t="shared" si="4"/>
        <v>210900</v>
      </c>
      <c r="D145" s="32">
        <v>0</v>
      </c>
      <c r="E145" s="95" t="s">
        <v>36</v>
      </c>
      <c r="F145" s="17" t="s">
        <v>265</v>
      </c>
      <c r="G145" s="32">
        <v>0</v>
      </c>
      <c r="J145" s="30"/>
      <c r="K145" s="30"/>
      <c r="L145" s="31"/>
    </row>
    <row r="146" spans="1:12" ht="18.95" customHeight="1">
      <c r="A146" s="75">
        <f>50000+3023800</f>
        <v>3073800</v>
      </c>
      <c r="B146" s="75"/>
      <c r="C146" s="75">
        <f t="shared" si="4"/>
        <v>3073800</v>
      </c>
      <c r="D146" s="32">
        <v>0</v>
      </c>
      <c r="E146" s="95" t="s">
        <v>37</v>
      </c>
      <c r="F146" s="17" t="s">
        <v>266</v>
      </c>
      <c r="G146" s="32">
        <v>0</v>
      </c>
      <c r="J146" s="30">
        <f>SUM(A145:A146)</f>
        <v>3284700</v>
      </c>
      <c r="K146" s="30"/>
      <c r="L146" s="31"/>
    </row>
    <row r="147" spans="1:12" ht="18.95" customHeight="1" thickBot="1">
      <c r="A147" s="75">
        <f>25000</f>
        <v>25000</v>
      </c>
      <c r="B147" s="101"/>
      <c r="C147" s="75">
        <f t="shared" si="4"/>
        <v>25000</v>
      </c>
      <c r="D147" s="32">
        <v>0</v>
      </c>
      <c r="E147" s="95" t="s">
        <v>102</v>
      </c>
      <c r="F147" s="17" t="s">
        <v>267</v>
      </c>
      <c r="G147" s="32">
        <v>0</v>
      </c>
      <c r="I147" s="102">
        <f>SUM(G138:G148)</f>
        <v>1631397.93</v>
      </c>
      <c r="J147" s="30">
        <f>SUM(A147)</f>
        <v>25000</v>
      </c>
      <c r="K147" s="30"/>
      <c r="L147" s="31"/>
    </row>
    <row r="148" spans="1:12" ht="18.95" customHeight="1" thickTop="1">
      <c r="A148" s="75">
        <f>180000+1288000+351100</f>
        <v>1819100</v>
      </c>
      <c r="B148" s="101"/>
      <c r="C148" s="75">
        <f t="shared" si="4"/>
        <v>1819100</v>
      </c>
      <c r="D148" s="24">
        <f>322000</f>
        <v>322000</v>
      </c>
      <c r="E148" s="170" t="s">
        <v>89</v>
      </c>
      <c r="F148" s="27" t="s">
        <v>268</v>
      </c>
      <c r="G148" s="24">
        <v>322000</v>
      </c>
      <c r="J148" s="30">
        <f>SUM(A148)</f>
        <v>1819100</v>
      </c>
      <c r="K148" s="30"/>
      <c r="L148" s="31"/>
    </row>
    <row r="149" spans="1:12" s="110" customFormat="1" ht="18.95" customHeight="1" thickBot="1">
      <c r="A149" s="244">
        <f>SUM(A138:A148)</f>
        <v>36000000</v>
      </c>
      <c r="B149" s="244">
        <f>SUM(B138:B148)</f>
        <v>0</v>
      </c>
      <c r="C149" s="244">
        <f>SUM(C138:C148)</f>
        <v>36000000</v>
      </c>
      <c r="D149" s="175">
        <f>SUM(D138:D148)</f>
        <v>2744959.91</v>
      </c>
      <c r="E149" s="254"/>
      <c r="F149" s="178"/>
      <c r="G149" s="244">
        <f>SUM(G138:G148)</f>
        <v>1631397.93</v>
      </c>
      <c r="I149" s="111"/>
      <c r="J149" s="36">
        <f>SUM(J138:J148)</f>
        <v>36000000</v>
      </c>
      <c r="K149" s="36"/>
      <c r="L149" s="131"/>
    </row>
    <row r="150" spans="1:12" ht="18.95" customHeight="1" thickTop="1">
      <c r="A150" s="171"/>
      <c r="B150" s="171"/>
      <c r="C150" s="171"/>
      <c r="D150" s="23">
        <f>810700+846044</f>
        <v>1656744</v>
      </c>
      <c r="E150" s="21" t="s">
        <v>179</v>
      </c>
      <c r="F150" s="20" t="s">
        <v>256</v>
      </c>
      <c r="G150" s="172">
        <f>561800+241600+1500+41144</f>
        <v>846044</v>
      </c>
      <c r="J150" s="30"/>
      <c r="K150" s="30"/>
      <c r="L150" s="31"/>
    </row>
    <row r="151" spans="1:12" ht="18.95" customHeight="1">
      <c r="A151" s="75"/>
      <c r="B151" s="32"/>
      <c r="C151" s="75"/>
      <c r="D151" s="26">
        <f>1186831.48+650000</f>
        <v>1836831.48</v>
      </c>
      <c r="E151" s="15" t="s">
        <v>180</v>
      </c>
      <c r="F151" s="25">
        <v>21010000</v>
      </c>
      <c r="G151" s="32">
        <v>650000</v>
      </c>
      <c r="I151" s="98"/>
      <c r="J151" s="30"/>
      <c r="K151" s="30"/>
      <c r="L151" s="31"/>
    </row>
    <row r="152" spans="1:12" ht="18.95" customHeight="1">
      <c r="A152" s="75"/>
      <c r="B152" s="126"/>
      <c r="C152" s="75"/>
      <c r="D152" s="26">
        <v>84067.88</v>
      </c>
      <c r="E152" s="15" t="s">
        <v>241</v>
      </c>
      <c r="F152" s="17" t="s">
        <v>254</v>
      </c>
      <c r="G152" s="32">
        <v>63856.5</v>
      </c>
      <c r="J152" s="30"/>
      <c r="K152" s="30"/>
      <c r="L152" s="31"/>
    </row>
    <row r="153" spans="1:12" ht="18.95" customHeight="1">
      <c r="A153" s="75"/>
      <c r="B153" s="126"/>
      <c r="C153" s="75"/>
      <c r="D153" s="26"/>
      <c r="E153" s="15"/>
      <c r="F153" s="17"/>
      <c r="G153" s="32"/>
      <c r="J153" s="30"/>
      <c r="K153" s="30"/>
      <c r="L153" s="31"/>
    </row>
    <row r="154" spans="1:12" ht="18.95" customHeight="1">
      <c r="A154" s="75"/>
      <c r="B154" s="24"/>
      <c r="C154" s="75"/>
      <c r="D154" s="26"/>
      <c r="E154" s="15"/>
      <c r="F154" s="25"/>
      <c r="G154" s="32"/>
      <c r="I154" s="98"/>
      <c r="J154" s="30"/>
      <c r="K154" s="30"/>
      <c r="L154" s="31"/>
    </row>
    <row r="155" spans="1:12" ht="18.95" customHeight="1">
      <c r="A155" s="75"/>
      <c r="B155" s="32"/>
      <c r="C155" s="75"/>
      <c r="D155" s="26"/>
      <c r="E155" s="15"/>
      <c r="F155" s="25"/>
      <c r="G155" s="32"/>
      <c r="I155" s="98"/>
      <c r="J155" s="30"/>
      <c r="K155" s="30"/>
      <c r="L155" s="31"/>
    </row>
    <row r="156" spans="1:12" ht="18.95" customHeight="1">
      <c r="A156" s="14"/>
      <c r="B156" s="127"/>
      <c r="C156" s="127"/>
      <c r="D156" s="26">
        <v>0</v>
      </c>
      <c r="E156" s="128"/>
      <c r="F156" s="17"/>
      <c r="G156" s="32">
        <v>0</v>
      </c>
    </row>
    <row r="157" spans="1:12" ht="18.95" customHeight="1">
      <c r="A157" s="14"/>
      <c r="B157" s="127"/>
      <c r="C157" s="127"/>
      <c r="D157" s="26">
        <v>0</v>
      </c>
      <c r="E157" s="128"/>
      <c r="F157" s="17"/>
      <c r="G157" s="32">
        <v>0</v>
      </c>
    </row>
    <row r="158" spans="1:12" ht="18.95" customHeight="1">
      <c r="A158" s="14"/>
      <c r="B158" s="127"/>
      <c r="C158" s="127"/>
      <c r="D158" s="26">
        <v>0</v>
      </c>
      <c r="E158" s="128"/>
      <c r="F158" s="17"/>
      <c r="G158" s="32">
        <v>0</v>
      </c>
    </row>
    <row r="159" spans="1:12" ht="18.95" customHeight="1">
      <c r="A159" s="14"/>
      <c r="B159" s="127"/>
      <c r="C159" s="127"/>
      <c r="D159" s="26">
        <v>0</v>
      </c>
      <c r="E159" s="105"/>
      <c r="F159" s="17"/>
      <c r="G159" s="32">
        <v>0</v>
      </c>
    </row>
    <row r="160" spans="1:12" ht="18.95" customHeight="1">
      <c r="A160" s="123"/>
      <c r="B160" s="22"/>
      <c r="C160" s="22"/>
      <c r="D160" s="26">
        <v>0</v>
      </c>
      <c r="E160" s="133"/>
      <c r="F160" s="20"/>
      <c r="G160" s="19">
        <v>0</v>
      </c>
    </row>
    <row r="161" spans="1:12" ht="27" customHeight="1" thickBot="1">
      <c r="A161" s="179"/>
      <c r="B161" s="179"/>
      <c r="C161" s="179"/>
      <c r="D161" s="175">
        <f>SUM(D149:D160)</f>
        <v>6322603.2700000005</v>
      </c>
      <c r="E161" s="180" t="s">
        <v>32</v>
      </c>
      <c r="F161" s="181"/>
      <c r="G161" s="182">
        <f>SUM(G149+G150+G151+G152+G153+G154+G155+G156)</f>
        <v>3191298.4299999997</v>
      </c>
      <c r="J161" s="30"/>
      <c r="K161" s="30"/>
      <c r="L161" s="31"/>
    </row>
    <row r="162" spans="1:12" ht="22.5" customHeight="1" thickTop="1">
      <c r="A162" s="87"/>
      <c r="B162" s="87"/>
      <c r="C162" s="87"/>
      <c r="D162" s="99">
        <f>SUM(D121-D161)</f>
        <v>2230771.0000000009</v>
      </c>
      <c r="E162" s="107" t="s">
        <v>38</v>
      </c>
      <c r="F162" s="108"/>
      <c r="G162" s="100"/>
    </row>
    <row r="163" spans="1:12" ht="20.25" customHeight="1">
      <c r="A163" s="87"/>
      <c r="B163" s="87"/>
      <c r="C163" s="22"/>
      <c r="D163" s="26"/>
      <c r="E163" s="70" t="s">
        <v>187</v>
      </c>
      <c r="F163" s="108"/>
      <c r="G163" s="32"/>
    </row>
    <row r="164" spans="1:12" ht="21" customHeight="1">
      <c r="A164" s="42"/>
      <c r="B164" s="42"/>
      <c r="C164" s="97"/>
      <c r="D164" s="100"/>
      <c r="E164" s="107" t="s">
        <v>103</v>
      </c>
      <c r="F164" s="108"/>
      <c r="G164" s="100">
        <f>SUM(G121-G161)</f>
        <v>-1605775.3499999996</v>
      </c>
    </row>
    <row r="165" spans="1:12" ht="21" customHeight="1" thickBot="1">
      <c r="A165" s="87"/>
      <c r="B165" s="87"/>
      <c r="C165" s="22"/>
      <c r="D165" s="34">
        <f>SUM(D97+D162)</f>
        <v>23193768.469999999</v>
      </c>
      <c r="E165" s="107" t="s">
        <v>104</v>
      </c>
      <c r="F165" s="108"/>
      <c r="G165" s="34">
        <f>SUM(G97+G164)</f>
        <v>23193768.469999999</v>
      </c>
      <c r="I165" s="187">
        <f>SUM(D165-G165)</f>
        <v>0</v>
      </c>
    </row>
    <row r="166" spans="1:12" ht="5.25" customHeight="1" thickTop="1">
      <c r="A166" s="87"/>
      <c r="B166" s="87"/>
      <c r="C166" s="87"/>
      <c r="D166" s="74"/>
      <c r="E166" s="236"/>
      <c r="F166" s="88"/>
      <c r="G166" s="78"/>
    </row>
    <row r="167" spans="1:12" ht="18.95" customHeight="1">
      <c r="A167" s="87" t="s">
        <v>19</v>
      </c>
      <c r="B167" s="87"/>
      <c r="C167" s="87"/>
      <c r="D167" s="74"/>
      <c r="E167" s="236"/>
      <c r="F167" s="88"/>
      <c r="G167" s="78"/>
    </row>
    <row r="168" spans="1:12" ht="20.25" customHeight="1">
      <c r="A168" s="87" t="s">
        <v>242</v>
      </c>
      <c r="B168" s="87"/>
      <c r="C168" s="87"/>
      <c r="D168" s="74"/>
      <c r="E168" s="236"/>
      <c r="F168" s="88"/>
      <c r="G168" s="78"/>
      <c r="J168" s="3">
        <f>SUM(D165-G165)</f>
        <v>0</v>
      </c>
    </row>
    <row r="169" spans="1:12" ht="20.25" customHeight="1">
      <c r="A169" s="87"/>
      <c r="B169" s="87"/>
      <c r="C169" s="87"/>
      <c r="D169" s="74"/>
      <c r="E169" s="236"/>
      <c r="F169" s="88"/>
      <c r="G169" s="78"/>
      <c r="I169" s="3">
        <f>SUM(D165-G165)</f>
        <v>0</v>
      </c>
    </row>
    <row r="170" spans="1:12" ht="21" customHeight="1">
      <c r="A170" s="87" t="s">
        <v>79</v>
      </c>
      <c r="B170" s="87"/>
      <c r="C170" s="87"/>
      <c r="D170" s="30"/>
      <c r="E170" s="77"/>
      <c r="F170" s="88"/>
      <c r="G170" s="42"/>
    </row>
    <row r="171" spans="1:12" ht="21" customHeight="1">
      <c r="A171" s="87"/>
      <c r="B171" s="87"/>
      <c r="C171" s="87"/>
      <c r="D171" s="30"/>
      <c r="E171" s="77"/>
      <c r="F171" s="88"/>
      <c r="G171" s="42"/>
    </row>
    <row r="172" spans="1:12" ht="23.25" customHeight="1">
      <c r="A172" s="87" t="s">
        <v>190</v>
      </c>
      <c r="B172" s="87"/>
      <c r="C172" s="87"/>
      <c r="D172" s="74"/>
      <c r="E172" s="241"/>
      <c r="F172" s="88"/>
      <c r="G172" s="78"/>
    </row>
    <row r="173" spans="1:12" ht="18.95" customHeight="1">
      <c r="A173" s="87" t="s">
        <v>186</v>
      </c>
      <c r="B173" s="87"/>
      <c r="C173" s="87"/>
      <c r="D173" s="74"/>
      <c r="E173" s="241"/>
      <c r="F173" s="88"/>
      <c r="G173" s="78"/>
    </row>
    <row r="176" spans="1:12" ht="18.95" customHeight="1">
      <c r="A176" s="303" t="s">
        <v>20</v>
      </c>
      <c r="B176" s="303"/>
      <c r="C176" s="303"/>
      <c r="D176" s="303"/>
      <c r="E176" s="303"/>
      <c r="F176" s="303"/>
      <c r="G176" s="303"/>
    </row>
    <row r="177" spans="1:11" ht="18.95" customHeight="1">
      <c r="A177" s="303" t="s">
        <v>92</v>
      </c>
      <c r="B177" s="303"/>
      <c r="C177" s="303"/>
      <c r="D177" s="303"/>
      <c r="E177" s="303"/>
      <c r="F177" s="303"/>
      <c r="G177" s="303"/>
    </row>
    <row r="178" spans="1:11" ht="18.95" customHeight="1">
      <c r="A178" s="303" t="s">
        <v>244</v>
      </c>
      <c r="B178" s="303"/>
      <c r="C178" s="303"/>
      <c r="D178" s="303"/>
      <c r="E178" s="303"/>
      <c r="F178" s="303"/>
      <c r="G178" s="303"/>
    </row>
    <row r="179" spans="1:11" ht="18.95" customHeight="1" thickBot="1">
      <c r="A179" s="304"/>
      <c r="B179" s="304"/>
      <c r="C179" s="304"/>
      <c r="D179" s="304"/>
      <c r="E179" s="304"/>
      <c r="F179" s="304"/>
      <c r="G179" s="304"/>
    </row>
    <row r="180" spans="1:11" ht="18.95" customHeight="1" thickTop="1" thickBot="1">
      <c r="A180" s="300" t="s">
        <v>6</v>
      </c>
      <c r="B180" s="301"/>
      <c r="C180" s="301"/>
      <c r="D180" s="302"/>
      <c r="E180" s="4"/>
      <c r="F180" s="5" t="s">
        <v>16</v>
      </c>
      <c r="G180" s="125" t="s">
        <v>26</v>
      </c>
    </row>
    <row r="181" spans="1:11" ht="18.95" customHeight="1" thickTop="1">
      <c r="A181" s="118" t="s">
        <v>1</v>
      </c>
      <c r="B181" s="114" t="s">
        <v>93</v>
      </c>
      <c r="C181" s="114" t="s">
        <v>97</v>
      </c>
      <c r="D181" s="6" t="s">
        <v>7</v>
      </c>
      <c r="E181" s="4" t="s">
        <v>8</v>
      </c>
      <c r="F181" s="8" t="s">
        <v>17</v>
      </c>
      <c r="G181" s="115" t="s">
        <v>18</v>
      </c>
    </row>
    <row r="182" spans="1:11" ht="18.95" customHeight="1">
      <c r="A182" s="119" t="s">
        <v>96</v>
      </c>
      <c r="B182" s="9" t="s">
        <v>94</v>
      </c>
      <c r="C182" s="9" t="s">
        <v>96</v>
      </c>
      <c r="D182" s="116" t="s">
        <v>96</v>
      </c>
      <c r="E182" s="7"/>
      <c r="F182" s="8"/>
      <c r="G182" s="115" t="s">
        <v>98</v>
      </c>
    </row>
    <row r="183" spans="1:11" ht="18.95" customHeight="1" thickBot="1">
      <c r="A183" s="117"/>
      <c r="B183" s="13" t="s">
        <v>95</v>
      </c>
      <c r="C183" s="10"/>
      <c r="D183" s="263"/>
      <c r="E183" s="11"/>
      <c r="F183" s="12"/>
      <c r="G183" s="13" t="s">
        <v>96</v>
      </c>
    </row>
    <row r="184" spans="1:11" s="150" customFormat="1" ht="18.95" customHeight="1" thickTop="1" thickBot="1">
      <c r="A184" s="149"/>
      <c r="B184" s="149"/>
      <c r="C184" s="149"/>
      <c r="D184" s="154">
        <f>20962997.47</f>
        <v>20962997.469999999</v>
      </c>
      <c r="E184" s="152" t="s">
        <v>3</v>
      </c>
      <c r="F184" s="153"/>
      <c r="G184" s="34">
        <f>SUM(G165)</f>
        <v>23193768.469999999</v>
      </c>
      <c r="I184" s="151"/>
      <c r="J184" s="151"/>
      <c r="K184" s="151"/>
    </row>
    <row r="185" spans="1:11" ht="18.95" customHeight="1" thickTop="1">
      <c r="A185" s="14"/>
      <c r="B185" s="14"/>
      <c r="C185" s="14"/>
      <c r="D185" s="15"/>
      <c r="E185" s="16" t="s">
        <v>68</v>
      </c>
      <c r="F185" s="17"/>
      <c r="G185" s="14"/>
    </row>
    <row r="186" spans="1:11" s="110" customFormat="1" ht="18.95" customHeight="1">
      <c r="A186" s="255">
        <f>C186</f>
        <v>186000</v>
      </c>
      <c r="B186" s="32"/>
      <c r="C186" s="255">
        <v>186000</v>
      </c>
      <c r="D186" s="32">
        <f>497.26</f>
        <v>497.26</v>
      </c>
      <c r="E186" s="15" t="s">
        <v>9</v>
      </c>
      <c r="F186" s="121" t="s">
        <v>246</v>
      </c>
      <c r="G186" s="32">
        <v>0</v>
      </c>
      <c r="I186" s="111"/>
      <c r="J186" s="111"/>
      <c r="K186" s="111"/>
    </row>
    <row r="187" spans="1:11" s="110" customFormat="1" ht="18.95" customHeight="1">
      <c r="A187" s="255">
        <f>C187</f>
        <v>113500</v>
      </c>
      <c r="B187" s="32"/>
      <c r="C187" s="255">
        <v>113500</v>
      </c>
      <c r="D187" s="32">
        <f>55+20+200+50+11562+3290</f>
        <v>15177</v>
      </c>
      <c r="E187" s="15" t="s">
        <v>10</v>
      </c>
      <c r="F187" s="121" t="s">
        <v>247</v>
      </c>
      <c r="G187" s="32">
        <f>20+170+600+2500</f>
        <v>3290</v>
      </c>
      <c r="I187" s="111"/>
      <c r="J187" s="111"/>
      <c r="K187" s="111"/>
    </row>
    <row r="188" spans="1:11" s="110" customFormat="1" ht="18.95" customHeight="1">
      <c r="A188" s="255">
        <f>C188</f>
        <v>100000</v>
      </c>
      <c r="B188" s="32"/>
      <c r="C188" s="255">
        <v>100000</v>
      </c>
      <c r="D188" s="32">
        <v>0</v>
      </c>
      <c r="E188" s="15" t="s">
        <v>11</v>
      </c>
      <c r="F188" s="121" t="s">
        <v>248</v>
      </c>
      <c r="G188" s="32">
        <v>0</v>
      </c>
      <c r="I188" s="111"/>
      <c r="J188" s="111"/>
      <c r="K188" s="111"/>
    </row>
    <row r="189" spans="1:11" s="110" customFormat="1" ht="18.95" customHeight="1">
      <c r="A189" s="255">
        <v>0</v>
      </c>
      <c r="B189" s="32"/>
      <c r="C189" s="255">
        <f>SUM(A189:B189)</f>
        <v>0</v>
      </c>
      <c r="D189" s="32">
        <v>0</v>
      </c>
      <c r="E189" s="15" t="s">
        <v>12</v>
      </c>
      <c r="F189" s="121" t="s">
        <v>249</v>
      </c>
      <c r="G189" s="32">
        <v>0</v>
      </c>
      <c r="I189" s="111"/>
      <c r="J189" s="111"/>
      <c r="K189" s="111"/>
    </row>
    <row r="190" spans="1:11" s="110" customFormat="1" ht="18.95" customHeight="1">
      <c r="A190" s="255">
        <f>C190</f>
        <v>10500</v>
      </c>
      <c r="B190" s="32"/>
      <c r="C190" s="255">
        <v>10500</v>
      </c>
      <c r="D190" s="32">
        <f>2000+296</f>
        <v>2296</v>
      </c>
      <c r="E190" s="15" t="s">
        <v>13</v>
      </c>
      <c r="F190" s="121" t="s">
        <v>250</v>
      </c>
      <c r="G190" s="32">
        <v>296</v>
      </c>
      <c r="I190" s="111"/>
      <c r="J190" s="111"/>
      <c r="K190" s="111"/>
    </row>
    <row r="191" spans="1:11" s="110" customFormat="1" ht="18.95" customHeight="1">
      <c r="A191" s="255">
        <v>0</v>
      </c>
      <c r="B191" s="32"/>
      <c r="C191" s="255">
        <f>SUM(A191:B191)</f>
        <v>0</v>
      </c>
      <c r="D191" s="32">
        <v>0</v>
      </c>
      <c r="E191" s="15" t="s">
        <v>14</v>
      </c>
      <c r="F191" s="121" t="s">
        <v>251</v>
      </c>
      <c r="G191" s="32">
        <v>0</v>
      </c>
      <c r="I191" s="111"/>
      <c r="J191" s="111"/>
      <c r="K191" s="111"/>
    </row>
    <row r="192" spans="1:11" s="110" customFormat="1" ht="18.95" customHeight="1">
      <c r="A192" s="255">
        <f>C192</f>
        <v>15590000</v>
      </c>
      <c r="B192" s="32"/>
      <c r="C192" s="255">
        <v>15590000</v>
      </c>
      <c r="D192" s="32">
        <f>807681.19+136065.98+375552.6+11585.92+44513+1553344.35+1529741.63</f>
        <v>4458484.67</v>
      </c>
      <c r="E192" s="15" t="s">
        <v>15</v>
      </c>
      <c r="F192" s="121" t="s">
        <v>252</v>
      </c>
      <c r="G192" s="32">
        <f>36736.64+809734.13+218802.95+426665.12+18106.79+19696</f>
        <v>1529741.63</v>
      </c>
      <c r="I192" s="111"/>
      <c r="J192" s="111"/>
      <c r="K192" s="111"/>
    </row>
    <row r="193" spans="1:11" s="110" customFormat="1" ht="18.95" customHeight="1">
      <c r="A193" s="255">
        <v>20000000</v>
      </c>
      <c r="B193" s="32"/>
      <c r="C193" s="255">
        <f>SUM(A193:B193)</f>
        <v>20000000</v>
      </c>
      <c r="D193" s="32">
        <v>5566536</v>
      </c>
      <c r="E193" s="15" t="s">
        <v>52</v>
      </c>
      <c r="F193" s="121" t="s">
        <v>253</v>
      </c>
      <c r="G193" s="32">
        <v>0</v>
      </c>
      <c r="I193" s="111"/>
      <c r="J193" s="147">
        <f>SUM(G186:G193)</f>
        <v>1533327.63</v>
      </c>
      <c r="K193" s="147" t="s">
        <v>159</v>
      </c>
    </row>
    <row r="194" spans="1:11" s="110" customFormat="1" ht="18.95" customHeight="1">
      <c r="A194" s="256"/>
      <c r="B194" s="33"/>
      <c r="C194" s="257"/>
      <c r="D194" s="24"/>
      <c r="E194" s="15"/>
      <c r="F194" s="162"/>
      <c r="G194" s="24"/>
      <c r="I194" s="111"/>
      <c r="J194" s="111"/>
      <c r="K194" s="111"/>
    </row>
    <row r="195" spans="1:11" s="156" customFormat="1" ht="18.95" customHeight="1" thickBot="1">
      <c r="A195" s="182">
        <f>SUM(A186:A194)</f>
        <v>36000000</v>
      </c>
      <c r="B195" s="182">
        <f>SUM(B186:B194)</f>
        <v>0</v>
      </c>
      <c r="C195" s="182">
        <f>SUM(C186:C194)</f>
        <v>36000000</v>
      </c>
      <c r="D195" s="175">
        <f>SUM(D186:D194)</f>
        <v>10042990.93</v>
      </c>
      <c r="E195" s="258"/>
      <c r="F195" s="164"/>
      <c r="G195" s="175">
        <f>SUM(G186:G194)</f>
        <v>1533327.63</v>
      </c>
      <c r="I195" s="147"/>
      <c r="J195" s="147"/>
      <c r="K195" s="147"/>
    </row>
    <row r="196" spans="1:11" s="110" customFormat="1" ht="21.75" customHeight="1" thickTop="1">
      <c r="A196" s="259"/>
      <c r="B196" s="23"/>
      <c r="C196" s="260"/>
      <c r="D196" s="23">
        <f>40510.97+38103.17</f>
        <v>78614.14</v>
      </c>
      <c r="E196" s="15" t="s">
        <v>162</v>
      </c>
      <c r="F196" s="17" t="s">
        <v>254</v>
      </c>
      <c r="G196" s="24">
        <f>24400+2079.17+11624</f>
        <v>38103.17</v>
      </c>
      <c r="I196" s="111"/>
      <c r="J196" s="111"/>
      <c r="K196" s="111"/>
    </row>
    <row r="197" spans="1:11" s="110" customFormat="1" ht="18.95" customHeight="1">
      <c r="A197" s="14"/>
      <c r="B197" s="14"/>
      <c r="C197" s="14"/>
      <c r="D197" s="23">
        <v>0</v>
      </c>
      <c r="E197" s="15" t="s">
        <v>137</v>
      </c>
      <c r="F197" s="17" t="s">
        <v>255</v>
      </c>
      <c r="G197" s="24">
        <v>0</v>
      </c>
      <c r="I197" s="111"/>
      <c r="J197" s="111"/>
      <c r="K197" s="111"/>
    </row>
    <row r="198" spans="1:11" s="110" customFormat="1" ht="18.95" customHeight="1">
      <c r="A198" s="32"/>
      <c r="B198" s="32"/>
      <c r="C198" s="32"/>
      <c r="D198" s="26">
        <f>600+800</f>
        <v>1400</v>
      </c>
      <c r="E198" s="173" t="s">
        <v>189</v>
      </c>
      <c r="F198" s="17" t="s">
        <v>256</v>
      </c>
      <c r="G198" s="24">
        <v>0</v>
      </c>
      <c r="I198" s="111"/>
      <c r="J198" s="111"/>
      <c r="K198" s="111"/>
    </row>
    <row r="199" spans="1:11" s="110" customFormat="1" ht="18.95" customHeight="1">
      <c r="A199" s="14"/>
      <c r="B199" s="14"/>
      <c r="C199" s="14"/>
      <c r="D199" s="37">
        <f>1200+600</f>
        <v>1800</v>
      </c>
      <c r="E199" s="15" t="s">
        <v>99</v>
      </c>
      <c r="F199" s="121" t="s">
        <v>258</v>
      </c>
      <c r="G199" s="24">
        <v>0</v>
      </c>
      <c r="I199" s="111"/>
      <c r="J199" s="111"/>
      <c r="K199" s="111"/>
    </row>
    <row r="200" spans="1:11" s="110" customFormat="1" ht="18.95" customHeight="1">
      <c r="A200" s="14"/>
      <c r="B200" s="14"/>
      <c r="C200" s="14"/>
      <c r="D200" s="26"/>
      <c r="E200" s="15"/>
      <c r="F200" s="17"/>
      <c r="G200" s="32"/>
      <c r="I200" s="111"/>
      <c r="J200" s="111"/>
      <c r="K200" s="111"/>
    </row>
    <row r="201" spans="1:11" s="110" customFormat="1" ht="18.95" customHeight="1">
      <c r="A201" s="14"/>
      <c r="B201" s="14"/>
      <c r="C201" s="14"/>
      <c r="D201" s="23"/>
      <c r="E201" s="15"/>
      <c r="F201" s="17"/>
      <c r="G201" s="32"/>
      <c r="I201" s="111"/>
      <c r="J201" s="111"/>
      <c r="K201" s="111"/>
    </row>
    <row r="202" spans="1:11" s="110" customFormat="1" ht="18.95" customHeight="1">
      <c r="A202" s="14"/>
      <c r="B202" s="14"/>
      <c r="C202" s="14"/>
      <c r="D202" s="23"/>
      <c r="E202" s="15"/>
      <c r="F202" s="17"/>
      <c r="G202" s="32"/>
      <c r="I202" s="111"/>
      <c r="J202" s="111"/>
      <c r="K202" s="111"/>
    </row>
    <row r="203" spans="1:11" s="110" customFormat="1" ht="18.95" customHeight="1">
      <c r="A203" s="14"/>
      <c r="B203" s="14"/>
      <c r="C203" s="14"/>
      <c r="D203" s="23"/>
      <c r="E203" s="15"/>
      <c r="F203" s="17"/>
      <c r="G203" s="32"/>
      <c r="I203" s="111"/>
      <c r="J203" s="111"/>
      <c r="K203" s="111"/>
    </row>
    <row r="204" spans="1:11" s="110" customFormat="1" ht="18.95" customHeight="1">
      <c r="A204" s="14"/>
      <c r="B204" s="14"/>
      <c r="C204" s="14"/>
      <c r="D204" s="23"/>
      <c r="E204" s="15"/>
      <c r="F204" s="17"/>
      <c r="G204" s="32"/>
      <c r="I204" s="111"/>
      <c r="J204" s="111"/>
      <c r="K204" s="111"/>
    </row>
    <row r="205" spans="1:11" ht="18.95" customHeight="1">
      <c r="A205" s="14"/>
      <c r="B205" s="14"/>
      <c r="C205" s="14"/>
      <c r="D205" s="23"/>
      <c r="E205" s="15"/>
      <c r="F205" s="17"/>
      <c r="G205" s="32"/>
    </row>
    <row r="206" spans="1:11" ht="18.95" customHeight="1">
      <c r="A206" s="14"/>
      <c r="B206" s="14"/>
      <c r="C206" s="14"/>
      <c r="D206" s="91"/>
      <c r="E206" s="15"/>
      <c r="F206" s="17"/>
      <c r="G206" s="32"/>
    </row>
    <row r="207" spans="1:11" ht="18.95" customHeight="1">
      <c r="A207" s="73"/>
      <c r="B207" s="22"/>
      <c r="C207" s="22"/>
      <c r="D207" s="35"/>
      <c r="E207" s="28"/>
      <c r="F207" s="20"/>
      <c r="G207" s="19"/>
    </row>
    <row r="208" spans="1:11" s="110" customFormat="1" ht="18.95" customHeight="1">
      <c r="A208" s="179"/>
      <c r="B208" s="179"/>
      <c r="C208" s="179"/>
      <c r="D208" s="66">
        <f>SUM(D195:D207)</f>
        <v>10124805.07</v>
      </c>
      <c r="E208" s="72" t="s">
        <v>4</v>
      </c>
      <c r="F208" s="261"/>
      <c r="G208" s="262">
        <f>SUM(G195:G207)</f>
        <v>1571430.7999999998</v>
      </c>
      <c r="I208" s="111"/>
      <c r="J208" s="111"/>
      <c r="K208" s="111"/>
    </row>
    <row r="209" spans="1:12" ht="18.95" customHeight="1">
      <c r="A209" s="87"/>
      <c r="B209" s="87"/>
      <c r="C209" s="87"/>
      <c r="D209" s="106"/>
      <c r="E209" s="264"/>
      <c r="F209" s="88"/>
      <c r="G209" s="78"/>
      <c r="J209" s="30"/>
      <c r="K209" s="30"/>
      <c r="L209" s="31"/>
    </row>
    <row r="210" spans="1:12" ht="18.95" customHeight="1">
      <c r="A210" s="87"/>
      <c r="B210" s="87"/>
      <c r="C210" s="87"/>
      <c r="D210" s="106"/>
      <c r="E210" s="264"/>
      <c r="F210" s="88"/>
      <c r="G210" s="78"/>
      <c r="J210" s="30"/>
      <c r="K210" s="30"/>
      <c r="L210" s="31"/>
    </row>
    <row r="211" spans="1:12" ht="18.95" customHeight="1">
      <c r="A211" s="87"/>
      <c r="B211" s="87"/>
      <c r="C211" s="87"/>
      <c r="D211" s="106"/>
      <c r="E211" s="264"/>
      <c r="F211" s="88"/>
      <c r="G211" s="78"/>
      <c r="J211" s="30"/>
      <c r="K211" s="30"/>
      <c r="L211" s="31"/>
    </row>
    <row r="212" spans="1:12" ht="18.95" customHeight="1">
      <c r="A212" s="87"/>
      <c r="B212" s="87"/>
      <c r="C212" s="87"/>
      <c r="D212" s="106"/>
      <c r="E212" s="264"/>
      <c r="F212" s="88"/>
      <c r="G212" s="78"/>
      <c r="J212" s="30"/>
      <c r="K212" s="30"/>
      <c r="L212" s="31"/>
    </row>
    <row r="213" spans="1:12" ht="18.95" customHeight="1">
      <c r="A213" s="87"/>
      <c r="B213" s="87"/>
      <c r="C213" s="87"/>
      <c r="D213" s="106"/>
      <c r="E213" s="264"/>
      <c r="F213" s="88"/>
      <c r="G213" s="78"/>
      <c r="J213" s="30"/>
      <c r="K213" s="30"/>
      <c r="L213" s="31"/>
    </row>
    <row r="214" spans="1:12" ht="18.95" customHeight="1">
      <c r="A214" s="87"/>
      <c r="B214" s="87"/>
      <c r="C214" s="87"/>
      <c r="D214" s="106"/>
      <c r="E214" s="264"/>
      <c r="F214" s="88"/>
      <c r="G214" s="78"/>
      <c r="J214" s="30"/>
      <c r="K214" s="30"/>
      <c r="L214" s="31"/>
    </row>
    <row r="215" spans="1:12" ht="18.95" customHeight="1">
      <c r="A215" s="87"/>
      <c r="B215" s="87"/>
      <c r="C215" s="87"/>
      <c r="D215" s="106"/>
      <c r="E215" s="264"/>
      <c r="F215" s="88"/>
      <c r="G215" s="78"/>
      <c r="J215" s="30"/>
      <c r="K215" s="30"/>
      <c r="L215" s="31"/>
    </row>
    <row r="216" spans="1:12" ht="18.95" customHeight="1">
      <c r="A216" s="87"/>
      <c r="B216" s="87"/>
      <c r="C216" s="87"/>
      <c r="D216" s="106"/>
      <c r="E216" s="264"/>
      <c r="F216" s="88"/>
      <c r="G216" s="78"/>
      <c r="J216" s="30"/>
      <c r="K216" s="30"/>
      <c r="L216" s="31"/>
    </row>
    <row r="217" spans="1:12" ht="18.95" customHeight="1">
      <c r="A217" s="87"/>
      <c r="B217" s="87"/>
      <c r="C217" s="87"/>
      <c r="D217" s="106"/>
      <c r="E217" s="264"/>
      <c r="F217" s="88"/>
      <c r="G217" s="78"/>
      <c r="J217" s="30"/>
      <c r="K217" s="30"/>
      <c r="L217" s="31"/>
    </row>
    <row r="218" spans="1:12" ht="18.95" customHeight="1">
      <c r="A218" s="87"/>
      <c r="B218" s="87"/>
      <c r="C218" s="87"/>
      <c r="D218" s="106"/>
      <c r="E218" s="264"/>
      <c r="F218" s="88"/>
      <c r="G218" s="78"/>
      <c r="J218" s="30"/>
      <c r="K218" s="30"/>
      <c r="L218" s="31"/>
    </row>
    <row r="219" spans="1:12" ht="18.95" customHeight="1" thickBot="1">
      <c r="A219" s="87"/>
      <c r="B219" s="87"/>
      <c r="C219" s="87"/>
      <c r="D219" s="106"/>
      <c r="E219" s="264"/>
      <c r="F219" s="88"/>
      <c r="G219" s="78"/>
      <c r="J219" s="30"/>
      <c r="K219" s="30"/>
      <c r="L219" s="31"/>
    </row>
    <row r="220" spans="1:12" ht="18.95" customHeight="1" thickTop="1" thickBot="1">
      <c r="A220" s="300" t="s">
        <v>6</v>
      </c>
      <c r="B220" s="301"/>
      <c r="C220" s="301"/>
      <c r="D220" s="302"/>
      <c r="E220" s="4"/>
      <c r="F220" s="5" t="s">
        <v>16</v>
      </c>
      <c r="G220" s="125" t="s">
        <v>26</v>
      </c>
    </row>
    <row r="221" spans="1:12" ht="18.95" customHeight="1" thickTop="1">
      <c r="A221" s="118" t="s">
        <v>1</v>
      </c>
      <c r="B221" s="114" t="s">
        <v>93</v>
      </c>
      <c r="C221" s="114" t="s">
        <v>97</v>
      </c>
      <c r="D221" s="6" t="s">
        <v>7</v>
      </c>
      <c r="E221" s="4" t="s">
        <v>8</v>
      </c>
      <c r="F221" s="8" t="s">
        <v>17</v>
      </c>
      <c r="G221" s="115" t="s">
        <v>18</v>
      </c>
    </row>
    <row r="222" spans="1:12" ht="18.95" customHeight="1">
      <c r="A222" s="119" t="s">
        <v>96</v>
      </c>
      <c r="B222" s="9" t="s">
        <v>94</v>
      </c>
      <c r="C222" s="9" t="s">
        <v>96</v>
      </c>
      <c r="D222" s="116" t="s">
        <v>96</v>
      </c>
      <c r="E222" s="7"/>
      <c r="F222" s="8"/>
      <c r="G222" s="115" t="s">
        <v>98</v>
      </c>
    </row>
    <row r="223" spans="1:12" ht="18.95" customHeight="1" thickBot="1">
      <c r="A223" s="117"/>
      <c r="B223" s="13" t="s">
        <v>95</v>
      </c>
      <c r="C223" s="10"/>
      <c r="D223" s="263"/>
      <c r="E223" s="11"/>
      <c r="F223" s="12"/>
      <c r="G223" s="13" t="s">
        <v>96</v>
      </c>
    </row>
    <row r="224" spans="1:12" ht="18.95" customHeight="1" thickTop="1">
      <c r="A224" s="89"/>
      <c r="B224" s="89"/>
      <c r="C224" s="89"/>
      <c r="D224" s="92"/>
      <c r="E224" s="93" t="s">
        <v>31</v>
      </c>
      <c r="F224" s="94"/>
      <c r="G224" s="89"/>
      <c r="J224" s="75"/>
      <c r="K224" s="30"/>
      <c r="L224" s="31"/>
    </row>
    <row r="225" spans="1:12" ht="18.95" customHeight="1">
      <c r="A225" s="75">
        <v>11819940</v>
      </c>
      <c r="B225" s="75"/>
      <c r="C225" s="75">
        <f>SUM(A225)</f>
        <v>11819940</v>
      </c>
      <c r="D225" s="32">
        <f>252411+99150+101924</f>
        <v>453485</v>
      </c>
      <c r="E225" s="95" t="s">
        <v>99</v>
      </c>
      <c r="F225" s="17" t="s">
        <v>258</v>
      </c>
      <c r="G225" s="32">
        <v>101924</v>
      </c>
      <c r="J225" s="30">
        <f>SUM(A225)</f>
        <v>11819940</v>
      </c>
      <c r="K225" s="30"/>
      <c r="L225" s="31"/>
    </row>
    <row r="226" spans="1:12" ht="18.95" customHeight="1">
      <c r="A226" s="75">
        <v>2311920</v>
      </c>
      <c r="B226" s="75"/>
      <c r="C226" s="75">
        <f t="shared" ref="C226:C235" si="5">SUM(A226)</f>
        <v>2311920</v>
      </c>
      <c r="D226" s="32">
        <f>185460+185460+185460</f>
        <v>556380</v>
      </c>
      <c r="E226" s="96" t="s">
        <v>100</v>
      </c>
      <c r="F226" s="17" t="s">
        <v>259</v>
      </c>
      <c r="G226" s="32">
        <v>185460</v>
      </c>
      <c r="J226" s="79"/>
      <c r="K226" s="30"/>
      <c r="L226" s="31"/>
    </row>
    <row r="227" spans="1:12" ht="18.95" customHeight="1">
      <c r="A227" s="75">
        <f>4208100+2188860+950340+1571400+1293060-50000-50000-150000</f>
        <v>9961760</v>
      </c>
      <c r="B227" s="75"/>
      <c r="C227" s="75">
        <f t="shared" si="5"/>
        <v>9961760</v>
      </c>
      <c r="D227" s="32">
        <f>614934+624105+619579</f>
        <v>1858618</v>
      </c>
      <c r="E227" s="96" t="s">
        <v>101</v>
      </c>
      <c r="F227" s="17" t="s">
        <v>260</v>
      </c>
      <c r="G227" s="32">
        <v>619579</v>
      </c>
      <c r="J227" s="79">
        <f>SUM(A226:A227)</f>
        <v>12273680</v>
      </c>
      <c r="K227" s="30"/>
      <c r="L227" s="31"/>
    </row>
    <row r="228" spans="1:12" ht="18.95" customHeight="1">
      <c r="A228" s="75">
        <f>375160+190000+100000+23000+65000+40000</f>
        <v>793160</v>
      </c>
      <c r="B228" s="75"/>
      <c r="C228" s="75">
        <f t="shared" si="5"/>
        <v>793160</v>
      </c>
      <c r="D228" s="32">
        <f>7530+15764+5430</f>
        <v>28724</v>
      </c>
      <c r="E228" s="96" t="s">
        <v>83</v>
      </c>
      <c r="F228" s="17" t="s">
        <v>261</v>
      </c>
      <c r="G228" s="32">
        <v>5430</v>
      </c>
      <c r="J228" s="30"/>
      <c r="K228" s="30"/>
      <c r="L228" s="31"/>
    </row>
    <row r="229" spans="1:12" ht="18.95" customHeight="1">
      <c r="A229" s="75">
        <f>855000+570000+60000+20000+39800+20000+90000+50000+265000+65000+770280+290000+80000+100000+396000+50000+50000-500000+500000+150000</f>
        <v>3921080</v>
      </c>
      <c r="B229" s="75"/>
      <c r="C229" s="75">
        <f t="shared" si="5"/>
        <v>3921080</v>
      </c>
      <c r="D229" s="32">
        <f>31920+280268+334687.16</f>
        <v>646875.15999999992</v>
      </c>
      <c r="E229" s="96" t="s">
        <v>84</v>
      </c>
      <c r="F229" s="17" t="s">
        <v>262</v>
      </c>
      <c r="G229" s="32">
        <v>334687.15999999997</v>
      </c>
      <c r="J229" s="30"/>
      <c r="K229" s="30"/>
      <c r="L229" s="31"/>
    </row>
    <row r="230" spans="1:12" ht="18.95" customHeight="1">
      <c r="A230" s="75">
        <f>395000+80000+20000+15000+125500+20000+50000+869840+60000+50000</f>
        <v>1685340</v>
      </c>
      <c r="B230" s="75"/>
      <c r="C230" s="75">
        <f t="shared" si="5"/>
        <v>1685340</v>
      </c>
      <c r="D230" s="32">
        <f>8100+78208.44+21820.9</f>
        <v>108129.34</v>
      </c>
      <c r="E230" s="95" t="s">
        <v>85</v>
      </c>
      <c r="F230" s="17" t="s">
        <v>263</v>
      </c>
      <c r="G230" s="32">
        <v>21820.9</v>
      </c>
      <c r="J230" s="79"/>
      <c r="K230" s="30"/>
      <c r="L230" s="31"/>
    </row>
    <row r="231" spans="1:12" ht="18.95" customHeight="1">
      <c r="A231" s="75">
        <f>360000+10000+8000</f>
        <v>378000</v>
      </c>
      <c r="B231" s="75"/>
      <c r="C231" s="75">
        <f t="shared" si="5"/>
        <v>378000</v>
      </c>
      <c r="D231" s="32">
        <f>13206.98+26442.49+12618.58</f>
        <v>52268.05</v>
      </c>
      <c r="E231" s="95" t="s">
        <v>86</v>
      </c>
      <c r="F231" s="17" t="s">
        <v>264</v>
      </c>
      <c r="G231" s="32">
        <v>12618.58</v>
      </c>
      <c r="J231" s="30">
        <f>SUM(A228:A231)</f>
        <v>6777580</v>
      </c>
      <c r="K231" s="30"/>
      <c r="L231" s="31"/>
    </row>
    <row r="232" spans="1:12" ht="18.95" customHeight="1">
      <c r="A232" s="75">
        <f>108000+15000+87900</f>
        <v>210900</v>
      </c>
      <c r="B232" s="75"/>
      <c r="C232" s="75">
        <f t="shared" si="5"/>
        <v>210900</v>
      </c>
      <c r="D232" s="32">
        <v>0</v>
      </c>
      <c r="E232" s="95" t="s">
        <v>36</v>
      </c>
      <c r="F232" s="17" t="s">
        <v>265</v>
      </c>
      <c r="G232" s="32">
        <v>0</v>
      </c>
      <c r="J232" s="30"/>
      <c r="K232" s="30"/>
      <c r="L232" s="31"/>
    </row>
    <row r="233" spans="1:12" ht="18.95" customHeight="1">
      <c r="A233" s="75">
        <f>50000+3023800</f>
        <v>3073800</v>
      </c>
      <c r="B233" s="75"/>
      <c r="C233" s="75">
        <f t="shared" si="5"/>
        <v>3073800</v>
      </c>
      <c r="D233" s="32">
        <v>0</v>
      </c>
      <c r="E233" s="95" t="s">
        <v>37</v>
      </c>
      <c r="F233" s="17" t="s">
        <v>266</v>
      </c>
      <c r="G233" s="32">
        <v>0</v>
      </c>
      <c r="J233" s="30">
        <f>SUM(A232:A233)</f>
        <v>3284700</v>
      </c>
      <c r="K233" s="30"/>
      <c r="L233" s="31"/>
    </row>
    <row r="234" spans="1:12" ht="18.95" customHeight="1" thickBot="1">
      <c r="A234" s="75">
        <f>25000</f>
        <v>25000</v>
      </c>
      <c r="B234" s="101"/>
      <c r="C234" s="75">
        <f t="shared" si="5"/>
        <v>25000</v>
      </c>
      <c r="D234" s="32">
        <v>0</v>
      </c>
      <c r="E234" s="95" t="s">
        <v>102</v>
      </c>
      <c r="F234" s="17" t="s">
        <v>267</v>
      </c>
      <c r="G234" s="32">
        <v>0</v>
      </c>
      <c r="I234" s="102">
        <f>SUM(G225:G235)</f>
        <v>1281519.6399999999</v>
      </c>
      <c r="J234" s="30">
        <f>SUM(A234)</f>
        <v>25000</v>
      </c>
      <c r="K234" s="30"/>
      <c r="L234" s="31"/>
    </row>
    <row r="235" spans="1:12" ht="18.95" customHeight="1" thickTop="1">
      <c r="A235" s="75">
        <f>180000+1288000+351100</f>
        <v>1819100</v>
      </c>
      <c r="B235" s="101"/>
      <c r="C235" s="75">
        <f t="shared" si="5"/>
        <v>1819100</v>
      </c>
      <c r="D235" s="24">
        <f>322000</f>
        <v>322000</v>
      </c>
      <c r="E235" s="170" t="s">
        <v>89</v>
      </c>
      <c r="F235" s="27" t="s">
        <v>268</v>
      </c>
      <c r="G235" s="24">
        <v>0</v>
      </c>
      <c r="J235" s="30">
        <f>SUM(A235)</f>
        <v>1819100</v>
      </c>
      <c r="K235" s="30"/>
      <c r="L235" s="31"/>
    </row>
    <row r="236" spans="1:12" s="110" customFormat="1" ht="18.95" customHeight="1" thickBot="1">
      <c r="A236" s="244">
        <f>SUM(A225:A235)</f>
        <v>36000000</v>
      </c>
      <c r="B236" s="244">
        <f>SUM(B225:B235)</f>
        <v>0</v>
      </c>
      <c r="C236" s="244">
        <f>SUM(C225:C235)</f>
        <v>36000000</v>
      </c>
      <c r="D236" s="175">
        <f>SUM(D225:D235)</f>
        <v>4026479.55</v>
      </c>
      <c r="E236" s="254"/>
      <c r="F236" s="178"/>
      <c r="G236" s="244">
        <f>SUM(G225:G235)</f>
        <v>1281519.6399999999</v>
      </c>
      <c r="I236" s="111"/>
      <c r="J236" s="36">
        <f>SUM(J225:J235)</f>
        <v>36000000</v>
      </c>
      <c r="K236" s="36"/>
      <c r="L236" s="131"/>
    </row>
    <row r="237" spans="1:12" ht="18.95" customHeight="1" thickTop="1">
      <c r="A237" s="171"/>
      <c r="B237" s="171"/>
      <c r="C237" s="171"/>
      <c r="D237" s="23">
        <f>810700+846044+833348</f>
        <v>2490092</v>
      </c>
      <c r="E237" s="21" t="s">
        <v>179</v>
      </c>
      <c r="F237" s="20" t="s">
        <v>256</v>
      </c>
      <c r="G237" s="172">
        <f>1500+240800+559100+31948</f>
        <v>833348</v>
      </c>
      <c r="J237" s="30"/>
      <c r="K237" s="30"/>
      <c r="L237" s="31"/>
    </row>
    <row r="238" spans="1:12" ht="18.95" customHeight="1">
      <c r="A238" s="75"/>
      <c r="B238" s="32"/>
      <c r="C238" s="75"/>
      <c r="D238" s="26">
        <f>1186831.48+650000+521617</f>
        <v>2358448.48</v>
      </c>
      <c r="E238" s="15" t="s">
        <v>180</v>
      </c>
      <c r="F238" s="25">
        <v>21010000</v>
      </c>
      <c r="G238" s="32">
        <v>521617</v>
      </c>
      <c r="I238" s="98"/>
      <c r="J238" s="30"/>
      <c r="K238" s="30"/>
      <c r="L238" s="31"/>
    </row>
    <row r="239" spans="1:12" ht="18.95" customHeight="1">
      <c r="A239" s="75"/>
      <c r="B239" s="126"/>
      <c r="C239" s="75"/>
      <c r="D239" s="26">
        <f>84067.88+20590.73</f>
        <v>104658.61</v>
      </c>
      <c r="E239" s="15" t="s">
        <v>241</v>
      </c>
      <c r="F239" s="17" t="s">
        <v>254</v>
      </c>
      <c r="G239" s="32">
        <f>7286.73+1600+11624+80</f>
        <v>20590.73</v>
      </c>
      <c r="J239" s="30"/>
      <c r="K239" s="30"/>
      <c r="L239" s="31"/>
    </row>
    <row r="240" spans="1:12" ht="18.95" customHeight="1">
      <c r="A240" s="75"/>
      <c r="B240" s="126"/>
      <c r="C240" s="75"/>
      <c r="D240" s="26"/>
      <c r="E240" s="15"/>
      <c r="F240" s="17"/>
      <c r="G240" s="32"/>
      <c r="J240" s="30"/>
      <c r="K240" s="30"/>
      <c r="L240" s="31"/>
    </row>
    <row r="241" spans="1:12" ht="18.95" customHeight="1">
      <c r="A241" s="75"/>
      <c r="B241" s="24"/>
      <c r="C241" s="75"/>
      <c r="D241" s="26"/>
      <c r="E241" s="15"/>
      <c r="F241" s="25"/>
      <c r="G241" s="32"/>
      <c r="I241" s="98"/>
      <c r="J241" s="30"/>
      <c r="K241" s="30"/>
      <c r="L241" s="31"/>
    </row>
    <row r="242" spans="1:12" ht="18.95" customHeight="1">
      <c r="A242" s="75"/>
      <c r="B242" s="32"/>
      <c r="C242" s="75"/>
      <c r="D242" s="26"/>
      <c r="E242" s="15"/>
      <c r="F242" s="25"/>
      <c r="G242" s="32"/>
      <c r="I242" s="98"/>
      <c r="J242" s="30"/>
      <c r="K242" s="30"/>
      <c r="L242" s="31"/>
    </row>
    <row r="243" spans="1:12" ht="18.95" customHeight="1">
      <c r="A243" s="14"/>
      <c r="B243" s="127"/>
      <c r="C243" s="127"/>
      <c r="D243" s="26">
        <v>0</v>
      </c>
      <c r="E243" s="128"/>
      <c r="F243" s="17"/>
      <c r="G243" s="32">
        <v>0</v>
      </c>
    </row>
    <row r="244" spans="1:12" ht="18.95" customHeight="1">
      <c r="A244" s="14"/>
      <c r="B244" s="127"/>
      <c r="C244" s="127"/>
      <c r="D244" s="26">
        <v>0</v>
      </c>
      <c r="E244" s="128"/>
      <c r="F244" s="17"/>
      <c r="G244" s="32">
        <v>0</v>
      </c>
    </row>
    <row r="245" spans="1:12" ht="18.95" customHeight="1">
      <c r="A245" s="14"/>
      <c r="B245" s="127"/>
      <c r="C245" s="127"/>
      <c r="D245" s="26">
        <v>0</v>
      </c>
      <c r="E245" s="128"/>
      <c r="F245" s="17"/>
      <c r="G245" s="32">
        <v>0</v>
      </c>
    </row>
    <row r="246" spans="1:12" ht="18.95" customHeight="1">
      <c r="A246" s="14"/>
      <c r="B246" s="127"/>
      <c r="C246" s="127"/>
      <c r="D246" s="26">
        <v>0</v>
      </c>
      <c r="E246" s="105"/>
      <c r="F246" s="17"/>
      <c r="G246" s="32">
        <v>0</v>
      </c>
    </row>
    <row r="247" spans="1:12" ht="18.95" customHeight="1">
      <c r="A247" s="123"/>
      <c r="B247" s="22"/>
      <c r="C247" s="22"/>
      <c r="D247" s="26">
        <v>0</v>
      </c>
      <c r="E247" s="133"/>
      <c r="F247" s="20"/>
      <c r="G247" s="19">
        <v>0</v>
      </c>
    </row>
    <row r="248" spans="1:12" ht="27" customHeight="1" thickBot="1">
      <c r="A248" s="179"/>
      <c r="B248" s="179"/>
      <c r="C248" s="179"/>
      <c r="D248" s="175">
        <f>SUM(D236:D247)</f>
        <v>8979678.6399999987</v>
      </c>
      <c r="E248" s="180" t="s">
        <v>32</v>
      </c>
      <c r="F248" s="181"/>
      <c r="G248" s="182">
        <f>SUM(G236+G237+G238+G239+G240+G241+G242+G243)</f>
        <v>2657075.3699999996</v>
      </c>
      <c r="J248" s="30"/>
      <c r="K248" s="30"/>
      <c r="L248" s="31"/>
    </row>
    <row r="249" spans="1:12" ht="22.5" customHeight="1" thickTop="1">
      <c r="A249" s="87"/>
      <c r="B249" s="87"/>
      <c r="C249" s="87"/>
      <c r="D249" s="99">
        <f>SUM(D208-D248)</f>
        <v>1145126.4300000016</v>
      </c>
      <c r="E249" s="107" t="s">
        <v>38</v>
      </c>
      <c r="F249" s="108"/>
      <c r="G249" s="100">
        <v>0</v>
      </c>
    </row>
    <row r="250" spans="1:12" ht="20.25" customHeight="1">
      <c r="A250" s="87"/>
      <c r="B250" s="87"/>
      <c r="C250" s="22"/>
      <c r="D250" s="26"/>
      <c r="E250" s="70" t="s">
        <v>187</v>
      </c>
      <c r="F250" s="108"/>
      <c r="G250" s="32"/>
    </row>
    <row r="251" spans="1:12" ht="21" customHeight="1">
      <c r="A251" s="42"/>
      <c r="B251" s="42"/>
      <c r="C251" s="97"/>
      <c r="D251" s="100"/>
      <c r="E251" s="107" t="s">
        <v>103</v>
      </c>
      <c r="F251" s="108"/>
      <c r="G251" s="100">
        <f>SUM(G208-G248)</f>
        <v>-1085644.5699999998</v>
      </c>
    </row>
    <row r="252" spans="1:12" ht="21" customHeight="1" thickBot="1">
      <c r="A252" s="87"/>
      <c r="B252" s="87"/>
      <c r="C252" s="22"/>
      <c r="D252" s="34">
        <f>SUM(D184+D249)</f>
        <v>22108123.899999999</v>
      </c>
      <c r="E252" s="107" t="s">
        <v>104</v>
      </c>
      <c r="F252" s="108"/>
      <c r="G252" s="34">
        <f>SUM(G184+G251)</f>
        <v>22108123.899999999</v>
      </c>
      <c r="I252" s="187">
        <f>SUM(D252-G252)</f>
        <v>0</v>
      </c>
    </row>
    <row r="253" spans="1:12" ht="5.25" customHeight="1" thickTop="1">
      <c r="A253" s="87"/>
      <c r="B253" s="87"/>
      <c r="C253" s="87"/>
      <c r="D253" s="74"/>
      <c r="E253" s="264"/>
      <c r="F253" s="88"/>
      <c r="G253" s="78"/>
    </row>
    <row r="254" spans="1:12" ht="18.95" customHeight="1">
      <c r="A254" s="87" t="s">
        <v>19</v>
      </c>
      <c r="B254" s="87"/>
      <c r="C254" s="87"/>
      <c r="D254" s="74"/>
      <c r="E254" s="264"/>
      <c r="F254" s="88"/>
      <c r="G254" s="78"/>
    </row>
    <row r="255" spans="1:12" ht="20.25" customHeight="1">
      <c r="A255" s="87" t="s">
        <v>245</v>
      </c>
      <c r="B255" s="87"/>
      <c r="C255" s="87"/>
      <c r="D255" s="74"/>
      <c r="E255" s="264"/>
      <c r="F255" s="88"/>
      <c r="G255" s="78"/>
      <c r="J255" s="3">
        <f>SUM(D252-G252)</f>
        <v>0</v>
      </c>
    </row>
    <row r="256" spans="1:12" ht="20.25" customHeight="1">
      <c r="A256" s="87"/>
      <c r="B256" s="87"/>
      <c r="C256" s="87"/>
      <c r="D256" s="74"/>
      <c r="E256" s="264"/>
      <c r="F256" s="88"/>
      <c r="G256" s="78"/>
    </row>
    <row r="257" spans="1:11" ht="21" customHeight="1">
      <c r="A257" s="87" t="s">
        <v>79</v>
      </c>
      <c r="B257" s="87"/>
      <c r="C257" s="87"/>
      <c r="D257" s="30"/>
      <c r="E257" s="77"/>
      <c r="F257" s="88"/>
      <c r="G257" s="42"/>
    </row>
    <row r="258" spans="1:11" ht="21" customHeight="1">
      <c r="A258" s="87"/>
      <c r="B258" s="87"/>
      <c r="C258" s="87"/>
      <c r="D258" s="30"/>
      <c r="E258" s="77"/>
      <c r="F258" s="88"/>
      <c r="G258" s="42"/>
    </row>
    <row r="259" spans="1:11" ht="23.25" customHeight="1">
      <c r="A259" s="87" t="s">
        <v>190</v>
      </c>
      <c r="B259" s="87"/>
      <c r="C259" s="87"/>
      <c r="D259" s="74"/>
      <c r="E259" s="264"/>
      <c r="F259" s="88"/>
      <c r="G259" s="78"/>
    </row>
    <row r="260" spans="1:11" ht="18.95" customHeight="1">
      <c r="A260" s="87" t="s">
        <v>186</v>
      </c>
      <c r="B260" s="87"/>
      <c r="C260" s="87"/>
      <c r="D260" s="74"/>
      <c r="E260" s="264"/>
      <c r="F260" s="88"/>
      <c r="G260" s="78"/>
    </row>
    <row r="263" spans="1:11" ht="18.95" customHeight="1">
      <c r="A263" s="303" t="s">
        <v>20</v>
      </c>
      <c r="B263" s="303"/>
      <c r="C263" s="303"/>
      <c r="D263" s="303"/>
      <c r="E263" s="303"/>
      <c r="F263" s="303"/>
      <c r="G263" s="303"/>
    </row>
    <row r="264" spans="1:11" ht="18.95" customHeight="1">
      <c r="A264" s="303" t="s">
        <v>92</v>
      </c>
      <c r="B264" s="303"/>
      <c r="C264" s="303"/>
      <c r="D264" s="303"/>
      <c r="E264" s="303"/>
      <c r="F264" s="303"/>
      <c r="G264" s="303"/>
    </row>
    <row r="265" spans="1:11" ht="18.95" customHeight="1">
      <c r="A265" s="303" t="s">
        <v>289</v>
      </c>
      <c r="B265" s="303"/>
      <c r="C265" s="303"/>
      <c r="D265" s="303"/>
      <c r="E265" s="303"/>
      <c r="F265" s="303"/>
      <c r="G265" s="303"/>
    </row>
    <row r="266" spans="1:11" ht="18.95" customHeight="1" thickBot="1">
      <c r="A266" s="304"/>
      <c r="B266" s="304"/>
      <c r="C266" s="304"/>
      <c r="D266" s="304"/>
      <c r="E266" s="304"/>
      <c r="F266" s="304"/>
      <c r="G266" s="304"/>
    </row>
    <row r="267" spans="1:11" ht="18.95" customHeight="1" thickTop="1" thickBot="1">
      <c r="A267" s="300" t="s">
        <v>6</v>
      </c>
      <c r="B267" s="301"/>
      <c r="C267" s="301"/>
      <c r="D267" s="302"/>
      <c r="E267" s="4"/>
      <c r="F267" s="5" t="s">
        <v>16</v>
      </c>
      <c r="G267" s="125" t="s">
        <v>26</v>
      </c>
    </row>
    <row r="268" spans="1:11" ht="18.95" customHeight="1" thickTop="1">
      <c r="A268" s="118" t="s">
        <v>1</v>
      </c>
      <c r="B268" s="114" t="s">
        <v>93</v>
      </c>
      <c r="C268" s="114" t="s">
        <v>97</v>
      </c>
      <c r="D268" s="6" t="s">
        <v>7</v>
      </c>
      <c r="E268" s="4" t="s">
        <v>8</v>
      </c>
      <c r="F268" s="8" t="s">
        <v>17</v>
      </c>
      <c r="G268" s="115" t="s">
        <v>18</v>
      </c>
    </row>
    <row r="269" spans="1:11" ht="18.95" customHeight="1">
      <c r="A269" s="119" t="s">
        <v>96</v>
      </c>
      <c r="B269" s="9" t="s">
        <v>94</v>
      </c>
      <c r="C269" s="9" t="s">
        <v>96</v>
      </c>
      <c r="D269" s="116" t="s">
        <v>96</v>
      </c>
      <c r="E269" s="7"/>
      <c r="F269" s="8"/>
      <c r="G269" s="115" t="s">
        <v>98</v>
      </c>
    </row>
    <row r="270" spans="1:11" ht="18.95" customHeight="1" thickBot="1">
      <c r="A270" s="117"/>
      <c r="B270" s="13" t="s">
        <v>95</v>
      </c>
      <c r="C270" s="10"/>
      <c r="D270" s="270"/>
      <c r="E270" s="11"/>
      <c r="F270" s="12"/>
      <c r="G270" s="13" t="s">
        <v>96</v>
      </c>
    </row>
    <row r="271" spans="1:11" s="150" customFormat="1" ht="18.95" customHeight="1" thickTop="1" thickBot="1">
      <c r="A271" s="149"/>
      <c r="B271" s="149"/>
      <c r="C271" s="149"/>
      <c r="D271" s="154">
        <f>20962997.47</f>
        <v>20962997.469999999</v>
      </c>
      <c r="E271" s="152" t="s">
        <v>3</v>
      </c>
      <c r="F271" s="153"/>
      <c r="G271" s="34">
        <f>SUM(G252)</f>
        <v>22108123.899999999</v>
      </c>
      <c r="I271" s="151"/>
      <c r="J271" s="151"/>
      <c r="K271" s="151"/>
    </row>
    <row r="272" spans="1:11" ht="18.95" customHeight="1" thickTop="1">
      <c r="A272" s="14"/>
      <c r="B272" s="14"/>
      <c r="C272" s="14"/>
      <c r="D272" s="15"/>
      <c r="E272" s="16" t="s">
        <v>68</v>
      </c>
      <c r="F272" s="17"/>
      <c r="G272" s="14"/>
    </row>
    <row r="273" spans="1:11" s="110" customFormat="1" ht="18.95" customHeight="1">
      <c r="A273" s="255">
        <f>C273</f>
        <v>186000</v>
      </c>
      <c r="B273" s="32"/>
      <c r="C273" s="255">
        <v>186000</v>
      </c>
      <c r="D273" s="32">
        <f>497.26+4449.04</f>
        <v>4946.3</v>
      </c>
      <c r="E273" s="15" t="s">
        <v>9</v>
      </c>
      <c r="F273" s="121" t="s">
        <v>246</v>
      </c>
      <c r="G273" s="32">
        <f>2552+297.04+1600</f>
        <v>4449.04</v>
      </c>
      <c r="I273" s="111"/>
      <c r="J273" s="111"/>
      <c r="K273" s="111"/>
    </row>
    <row r="274" spans="1:11" s="110" customFormat="1" ht="18.95" customHeight="1">
      <c r="A274" s="255">
        <f>C274</f>
        <v>113500</v>
      </c>
      <c r="B274" s="32"/>
      <c r="C274" s="255">
        <v>113500</v>
      </c>
      <c r="D274" s="32">
        <f>55+20+200+50+11562+3290+1976</f>
        <v>17153</v>
      </c>
      <c r="E274" s="15" t="s">
        <v>10</v>
      </c>
      <c r="F274" s="121" t="s">
        <v>247</v>
      </c>
      <c r="G274" s="32">
        <f>151+30+140+1100+75+480</f>
        <v>1976</v>
      </c>
      <c r="I274" s="111"/>
      <c r="J274" s="111"/>
      <c r="K274" s="111"/>
    </row>
    <row r="275" spans="1:11" s="110" customFormat="1" ht="18.95" customHeight="1">
      <c r="A275" s="255">
        <f>C275</f>
        <v>100000</v>
      </c>
      <c r="B275" s="32"/>
      <c r="C275" s="255">
        <v>100000</v>
      </c>
      <c r="D275" s="32">
        <f>53111.51</f>
        <v>53111.51</v>
      </c>
      <c r="E275" s="15" t="s">
        <v>11</v>
      </c>
      <c r="F275" s="121" t="s">
        <v>248</v>
      </c>
      <c r="G275" s="32">
        <v>53111.51</v>
      </c>
      <c r="I275" s="111"/>
      <c r="J275" s="111"/>
      <c r="K275" s="111"/>
    </row>
    <row r="276" spans="1:11" s="110" customFormat="1" ht="18.95" customHeight="1">
      <c r="A276" s="255">
        <v>0</v>
      </c>
      <c r="B276" s="32"/>
      <c r="C276" s="255">
        <f>SUM(A276:B276)</f>
        <v>0</v>
      </c>
      <c r="D276" s="32">
        <v>0</v>
      </c>
      <c r="E276" s="15" t="s">
        <v>12</v>
      </c>
      <c r="F276" s="121" t="s">
        <v>249</v>
      </c>
      <c r="G276" s="32">
        <v>0</v>
      </c>
      <c r="I276" s="111"/>
      <c r="J276" s="111"/>
      <c r="K276" s="111"/>
    </row>
    <row r="277" spans="1:11" s="110" customFormat="1" ht="18.95" customHeight="1">
      <c r="A277" s="255">
        <f>C277</f>
        <v>10500</v>
      </c>
      <c r="B277" s="32"/>
      <c r="C277" s="255">
        <v>10500</v>
      </c>
      <c r="D277" s="32">
        <f>2000+296+28</f>
        <v>2324</v>
      </c>
      <c r="E277" s="15" t="s">
        <v>13</v>
      </c>
      <c r="F277" s="121" t="s">
        <v>250</v>
      </c>
      <c r="G277" s="32">
        <v>28</v>
      </c>
      <c r="I277" s="111"/>
      <c r="J277" s="111"/>
      <c r="K277" s="111"/>
    </row>
    <row r="278" spans="1:11" s="110" customFormat="1" ht="18.95" customHeight="1">
      <c r="A278" s="255">
        <v>0</v>
      </c>
      <c r="B278" s="32"/>
      <c r="C278" s="255">
        <f>SUM(A278:B278)</f>
        <v>0</v>
      </c>
      <c r="D278" s="32">
        <v>0</v>
      </c>
      <c r="E278" s="15" t="s">
        <v>14</v>
      </c>
      <c r="F278" s="121" t="s">
        <v>251</v>
      </c>
      <c r="G278" s="32">
        <v>0</v>
      </c>
      <c r="I278" s="111"/>
      <c r="J278" s="111"/>
      <c r="K278" s="111"/>
    </row>
    <row r="279" spans="1:11" s="110" customFormat="1" ht="18.95" customHeight="1">
      <c r="A279" s="255">
        <f>C279</f>
        <v>15590000</v>
      </c>
      <c r="B279" s="32"/>
      <c r="C279" s="255">
        <v>15590000</v>
      </c>
      <c r="D279" s="32">
        <f>807681.19+136065.98+375552.6+11585.92+44513+1553344.35+1529741.63+1204336.32</f>
        <v>5662820.9900000002</v>
      </c>
      <c r="E279" s="15" t="s">
        <v>15</v>
      </c>
      <c r="F279" s="121" t="s">
        <v>252</v>
      </c>
      <c r="G279" s="32">
        <f>36835.18+579396.58+192322.52+384550.04+11232</f>
        <v>1204336.32</v>
      </c>
      <c r="I279" s="111"/>
      <c r="J279" s="111"/>
      <c r="K279" s="111"/>
    </row>
    <row r="280" spans="1:11" s="110" customFormat="1" ht="18.95" customHeight="1">
      <c r="A280" s="255">
        <v>20000000</v>
      </c>
      <c r="B280" s="32"/>
      <c r="C280" s="255">
        <f>SUM(A280:B280)</f>
        <v>20000000</v>
      </c>
      <c r="D280" s="32">
        <f>5566536+4689911</f>
        <v>10256447</v>
      </c>
      <c r="E280" s="15" t="s">
        <v>52</v>
      </c>
      <c r="F280" s="121" t="s">
        <v>253</v>
      </c>
      <c r="G280" s="32">
        <v>4689911</v>
      </c>
      <c r="I280" s="111"/>
      <c r="J280" s="147">
        <f>SUM(G273:G280)</f>
        <v>5953811.8700000001</v>
      </c>
      <c r="K280" s="147" t="s">
        <v>159</v>
      </c>
    </row>
    <row r="281" spans="1:11" s="110" customFormat="1" ht="18.95" customHeight="1">
      <c r="A281" s="256"/>
      <c r="B281" s="275"/>
      <c r="C281" s="275"/>
      <c r="D281" s="275"/>
      <c r="E281" s="15"/>
      <c r="F281" s="162"/>
      <c r="G281" s="24"/>
      <c r="I281" s="111"/>
      <c r="J281" s="111"/>
      <c r="K281" s="111"/>
    </row>
    <row r="282" spans="1:11" s="156" customFormat="1" ht="18.95" customHeight="1" thickBot="1">
      <c r="A282" s="182">
        <f>SUM(A273:A281)</f>
        <v>36000000</v>
      </c>
      <c r="B282" s="182">
        <f>SUM(B273:B281)</f>
        <v>0</v>
      </c>
      <c r="C282" s="182">
        <f>SUM(C273:C281)</f>
        <v>36000000</v>
      </c>
      <c r="D282" s="175">
        <f>SUM(D273:D281)</f>
        <v>15996802.800000001</v>
      </c>
      <c r="E282" s="258"/>
      <c r="F282" s="164"/>
      <c r="G282" s="175">
        <f>SUM(G273:G281)</f>
        <v>5953811.8700000001</v>
      </c>
      <c r="I282" s="147"/>
      <c r="J282" s="147"/>
      <c r="K282" s="147"/>
    </row>
    <row r="283" spans="1:11" s="110" customFormat="1" ht="21.75" customHeight="1" thickTop="1">
      <c r="A283" s="259"/>
      <c r="B283" s="23"/>
      <c r="C283" s="260"/>
      <c r="D283" s="23">
        <f>40510.97+38103.17+23622.23</f>
        <v>102236.37</v>
      </c>
      <c r="E283" s="15" t="s">
        <v>162</v>
      </c>
      <c r="F283" s="17" t="s">
        <v>254</v>
      </c>
      <c r="G283" s="24">
        <f>18.96+12917.27+10686</f>
        <v>23622.23</v>
      </c>
      <c r="I283" s="111"/>
      <c r="J283" s="111"/>
      <c r="K283" s="111"/>
    </row>
    <row r="284" spans="1:11" s="110" customFormat="1" ht="18.95" customHeight="1">
      <c r="A284" s="14"/>
      <c r="B284" s="14"/>
      <c r="C284" s="14"/>
      <c r="D284" s="24">
        <v>873675.86</v>
      </c>
      <c r="E284" s="15" t="s">
        <v>137</v>
      </c>
      <c r="F284" s="17" t="s">
        <v>255</v>
      </c>
      <c r="G284" s="24">
        <v>873675.86</v>
      </c>
      <c r="I284" s="111"/>
      <c r="J284" s="111"/>
      <c r="K284" s="111"/>
    </row>
    <row r="285" spans="1:11" s="110" customFormat="1" ht="18.95" customHeight="1">
      <c r="A285" s="32"/>
      <c r="B285" s="32"/>
      <c r="C285" s="32"/>
      <c r="D285" s="26">
        <f>600+800</f>
        <v>1400</v>
      </c>
      <c r="E285" s="173" t="s">
        <v>189</v>
      </c>
      <c r="F285" s="17" t="s">
        <v>256</v>
      </c>
      <c r="G285" s="24">
        <v>0</v>
      </c>
      <c r="I285" s="111"/>
      <c r="J285" s="111"/>
      <c r="K285" s="111"/>
    </row>
    <row r="286" spans="1:11" s="110" customFormat="1" ht="18.95" customHeight="1">
      <c r="A286" s="14"/>
      <c r="B286" s="14"/>
      <c r="C286" s="14"/>
      <c r="D286" s="26">
        <v>4000</v>
      </c>
      <c r="E286" s="15" t="s">
        <v>291</v>
      </c>
      <c r="F286" s="17" t="s">
        <v>256</v>
      </c>
      <c r="G286" s="32">
        <v>4000</v>
      </c>
      <c r="I286" s="111"/>
      <c r="J286" s="111"/>
      <c r="K286" s="111"/>
    </row>
    <row r="287" spans="1:11" s="110" customFormat="1" ht="18.95" customHeight="1">
      <c r="A287" s="14"/>
      <c r="B287" s="14"/>
      <c r="C287" s="14"/>
      <c r="D287" s="37">
        <f>1200+600</f>
        <v>1800</v>
      </c>
      <c r="E287" s="15" t="s">
        <v>99</v>
      </c>
      <c r="F287" s="17" t="s">
        <v>258</v>
      </c>
      <c r="G287" s="24">
        <v>0</v>
      </c>
      <c r="I287" s="111"/>
      <c r="J287" s="111"/>
      <c r="K287" s="111"/>
    </row>
    <row r="288" spans="1:11" s="110" customFormat="1" ht="18.95" customHeight="1">
      <c r="A288" s="14"/>
      <c r="B288" s="14"/>
      <c r="C288" s="14"/>
      <c r="D288" s="23"/>
      <c r="E288" s="15"/>
      <c r="F288" s="17"/>
      <c r="G288" s="32"/>
      <c r="I288" s="111"/>
      <c r="J288" s="111"/>
      <c r="K288" s="111"/>
    </row>
    <row r="289" spans="1:12" s="110" customFormat="1" ht="18.95" customHeight="1">
      <c r="A289" s="14"/>
      <c r="B289" s="14"/>
      <c r="C289" s="14"/>
      <c r="D289" s="23"/>
      <c r="E289" s="15"/>
      <c r="F289" s="17"/>
      <c r="G289" s="32"/>
      <c r="I289" s="111"/>
      <c r="J289" s="111"/>
      <c r="K289" s="111"/>
    </row>
    <row r="290" spans="1:12" s="110" customFormat="1" ht="18.95" customHeight="1">
      <c r="A290" s="14"/>
      <c r="B290" s="14"/>
      <c r="C290" s="14"/>
      <c r="D290" s="23"/>
      <c r="E290" s="15"/>
      <c r="F290" s="17"/>
      <c r="G290" s="32"/>
      <c r="I290" s="111"/>
      <c r="J290" s="111"/>
      <c r="K290" s="111"/>
    </row>
    <row r="291" spans="1:12" s="110" customFormat="1" ht="18.95" customHeight="1">
      <c r="A291" s="14"/>
      <c r="B291" s="14"/>
      <c r="C291" s="14"/>
      <c r="D291" s="23"/>
      <c r="E291" s="15"/>
      <c r="F291" s="17"/>
      <c r="G291" s="32"/>
      <c r="I291" s="111"/>
      <c r="J291" s="111"/>
      <c r="K291" s="111"/>
    </row>
    <row r="292" spans="1:12" ht="18.95" customHeight="1">
      <c r="A292" s="14"/>
      <c r="B292" s="14"/>
      <c r="C292" s="14"/>
      <c r="D292" s="23"/>
      <c r="E292" s="15"/>
      <c r="F292" s="17"/>
      <c r="G292" s="32"/>
    </row>
    <row r="293" spans="1:12" ht="18.95" customHeight="1">
      <c r="A293" s="14"/>
      <c r="B293" s="14"/>
      <c r="C293" s="14"/>
      <c r="D293" s="91"/>
      <c r="E293" s="15"/>
      <c r="F293" s="17"/>
      <c r="G293" s="32"/>
    </row>
    <row r="294" spans="1:12" ht="18.95" customHeight="1">
      <c r="A294" s="73"/>
      <c r="B294" s="22"/>
      <c r="C294" s="22"/>
      <c r="D294" s="35"/>
      <c r="E294" s="28"/>
      <c r="F294" s="20"/>
      <c r="G294" s="19"/>
    </row>
    <row r="295" spans="1:12" s="110" customFormat="1" ht="18.95" customHeight="1">
      <c r="A295" s="179"/>
      <c r="B295" s="179"/>
      <c r="C295" s="179"/>
      <c r="D295" s="66">
        <f>SUM(D282:D294)</f>
        <v>16979915.030000001</v>
      </c>
      <c r="E295" s="72" t="s">
        <v>4</v>
      </c>
      <c r="F295" s="261"/>
      <c r="G295" s="262">
        <f>SUM(G282:G294)</f>
        <v>6855109.9600000009</v>
      </c>
      <c r="I295" s="111"/>
      <c r="J295" s="111"/>
      <c r="K295" s="111"/>
    </row>
    <row r="296" spans="1:12" ht="18.95" customHeight="1">
      <c r="A296" s="87"/>
      <c r="B296" s="87"/>
      <c r="C296" s="87"/>
      <c r="D296" s="106"/>
      <c r="E296" s="271"/>
      <c r="F296" s="88"/>
      <c r="G296" s="78"/>
      <c r="J296" s="30"/>
      <c r="K296" s="30"/>
      <c r="L296" s="31"/>
    </row>
    <row r="297" spans="1:12" ht="18.95" customHeight="1">
      <c r="A297" s="87"/>
      <c r="B297" s="87"/>
      <c r="C297" s="87"/>
      <c r="D297" s="106"/>
      <c r="E297" s="271"/>
      <c r="F297" s="88"/>
      <c r="G297" s="78"/>
      <c r="J297" s="30"/>
      <c r="K297" s="30"/>
      <c r="L297" s="31"/>
    </row>
    <row r="298" spans="1:12" ht="18.95" customHeight="1">
      <c r="A298" s="87"/>
      <c r="B298" s="87"/>
      <c r="C298" s="87"/>
      <c r="D298" s="106"/>
      <c r="E298" s="271"/>
      <c r="F298" s="88"/>
      <c r="G298" s="78"/>
      <c r="J298" s="30"/>
      <c r="K298" s="30"/>
      <c r="L298" s="31"/>
    </row>
    <row r="299" spans="1:12" ht="18.95" customHeight="1">
      <c r="A299" s="87"/>
      <c r="B299" s="87"/>
      <c r="C299" s="87"/>
      <c r="D299" s="106"/>
      <c r="E299" s="271"/>
      <c r="F299" s="88"/>
      <c r="G299" s="78"/>
      <c r="J299" s="30"/>
      <c r="K299" s="30"/>
      <c r="L299" s="31"/>
    </row>
    <row r="300" spans="1:12" ht="18.95" customHeight="1">
      <c r="A300" s="87"/>
      <c r="B300" s="87"/>
      <c r="C300" s="87"/>
      <c r="D300" s="106"/>
      <c r="E300" s="271"/>
      <c r="F300" s="88"/>
      <c r="G300" s="78"/>
      <c r="J300" s="30"/>
      <c r="K300" s="30"/>
      <c r="L300" s="31"/>
    </row>
    <row r="301" spans="1:12" ht="18.95" customHeight="1">
      <c r="A301" s="87"/>
      <c r="B301" s="87"/>
      <c r="C301" s="87"/>
      <c r="D301" s="106"/>
      <c r="E301" s="271"/>
      <c r="F301" s="88"/>
      <c r="G301" s="78"/>
      <c r="J301" s="30"/>
      <c r="K301" s="30"/>
      <c r="L301" s="31"/>
    </row>
    <row r="302" spans="1:12" ht="18.95" customHeight="1">
      <c r="A302" s="87"/>
      <c r="B302" s="87"/>
      <c r="C302" s="87"/>
      <c r="D302" s="106"/>
      <c r="E302" s="271"/>
      <c r="F302" s="88"/>
      <c r="G302" s="78"/>
      <c r="J302" s="30"/>
      <c r="K302" s="30"/>
      <c r="L302" s="31"/>
    </row>
    <row r="303" spans="1:12" ht="18.95" customHeight="1">
      <c r="A303" s="87"/>
      <c r="B303" s="87"/>
      <c r="C303" s="87"/>
      <c r="D303" s="106"/>
      <c r="E303" s="271"/>
      <c r="F303" s="88"/>
      <c r="G303" s="78"/>
      <c r="J303" s="30"/>
      <c r="K303" s="30"/>
      <c r="L303" s="31"/>
    </row>
    <row r="304" spans="1:12" ht="18.95" customHeight="1">
      <c r="A304" s="87"/>
      <c r="B304" s="87"/>
      <c r="C304" s="87"/>
      <c r="D304" s="106"/>
      <c r="E304" s="271"/>
      <c r="F304" s="88"/>
      <c r="G304" s="78"/>
      <c r="J304" s="30"/>
      <c r="K304" s="30"/>
      <c r="L304" s="31"/>
    </row>
    <row r="305" spans="1:12" ht="18.95" customHeight="1">
      <c r="A305" s="87"/>
      <c r="B305" s="87"/>
      <c r="C305" s="87"/>
      <c r="D305" s="106"/>
      <c r="E305" s="271"/>
      <c r="F305" s="88"/>
      <c r="G305" s="78"/>
      <c r="J305" s="30"/>
      <c r="K305" s="30"/>
      <c r="L305" s="31"/>
    </row>
    <row r="306" spans="1:12" ht="18.95" customHeight="1" thickBot="1">
      <c r="A306" s="87"/>
      <c r="B306" s="87"/>
      <c r="C306" s="87"/>
      <c r="D306" s="106"/>
      <c r="E306" s="271"/>
      <c r="F306" s="88"/>
      <c r="G306" s="78"/>
      <c r="J306" s="30"/>
      <c r="K306" s="30"/>
      <c r="L306" s="31"/>
    </row>
    <row r="307" spans="1:12" ht="18.95" customHeight="1" thickTop="1" thickBot="1">
      <c r="A307" s="300" t="s">
        <v>6</v>
      </c>
      <c r="B307" s="301"/>
      <c r="C307" s="301"/>
      <c r="D307" s="302"/>
      <c r="E307" s="4"/>
      <c r="F307" s="5" t="s">
        <v>16</v>
      </c>
      <c r="G307" s="125" t="s">
        <v>26</v>
      </c>
    </row>
    <row r="308" spans="1:12" ht="18.95" customHeight="1" thickTop="1">
      <c r="A308" s="118" t="s">
        <v>1</v>
      </c>
      <c r="B308" s="114" t="s">
        <v>93</v>
      </c>
      <c r="C308" s="114" t="s">
        <v>97</v>
      </c>
      <c r="D308" s="6" t="s">
        <v>7</v>
      </c>
      <c r="E308" s="4" t="s">
        <v>8</v>
      </c>
      <c r="F308" s="8" t="s">
        <v>17</v>
      </c>
      <c r="G308" s="115" t="s">
        <v>18</v>
      </c>
    </row>
    <row r="309" spans="1:12" ht="18.95" customHeight="1">
      <c r="A309" s="119" t="s">
        <v>96</v>
      </c>
      <c r="B309" s="9" t="s">
        <v>94</v>
      </c>
      <c r="C309" s="9" t="s">
        <v>96</v>
      </c>
      <c r="D309" s="116" t="s">
        <v>96</v>
      </c>
      <c r="E309" s="7"/>
      <c r="F309" s="8"/>
      <c r="G309" s="115" t="s">
        <v>98</v>
      </c>
    </row>
    <row r="310" spans="1:12" ht="18.95" customHeight="1" thickBot="1">
      <c r="A310" s="117"/>
      <c r="B310" s="13" t="s">
        <v>95</v>
      </c>
      <c r="C310" s="10"/>
      <c r="D310" s="270"/>
      <c r="E310" s="11"/>
      <c r="F310" s="12"/>
      <c r="G310" s="13" t="s">
        <v>96</v>
      </c>
    </row>
    <row r="311" spans="1:12" ht="18.95" customHeight="1" thickTop="1">
      <c r="A311" s="89"/>
      <c r="B311" s="89"/>
      <c r="C311" s="89"/>
      <c r="D311" s="92"/>
      <c r="E311" s="93" t="s">
        <v>31</v>
      </c>
      <c r="F311" s="94"/>
      <c r="G311" s="89"/>
      <c r="J311" s="75"/>
      <c r="K311" s="30"/>
      <c r="L311" s="31"/>
    </row>
    <row r="312" spans="1:12" ht="18.95" customHeight="1">
      <c r="A312" s="75">
        <f>11819940+7000</f>
        <v>11826940</v>
      </c>
      <c r="B312" s="75"/>
      <c r="C312" s="75">
        <f>SUM(A312)</f>
        <v>11826940</v>
      </c>
      <c r="D312" s="32">
        <f>252411+99150+101924+112368</f>
        <v>565853</v>
      </c>
      <c r="E312" s="95" t="s">
        <v>99</v>
      </c>
      <c r="F312" s="17" t="s">
        <v>258</v>
      </c>
      <c r="G312" s="32">
        <v>112368</v>
      </c>
      <c r="J312" s="30">
        <f>SUM(A312)</f>
        <v>11826940</v>
      </c>
      <c r="K312" s="30"/>
      <c r="L312" s="31"/>
    </row>
    <row r="313" spans="1:12" ht="18.95" customHeight="1">
      <c r="A313" s="75">
        <v>2311920</v>
      </c>
      <c r="B313" s="75"/>
      <c r="C313" s="75">
        <f t="shared" ref="C313:C322" si="6">SUM(A313)</f>
        <v>2311920</v>
      </c>
      <c r="D313" s="32">
        <f>185460+185460+185460+185460</f>
        <v>741840</v>
      </c>
      <c r="E313" s="96" t="s">
        <v>100</v>
      </c>
      <c r="F313" s="17" t="s">
        <v>259</v>
      </c>
      <c r="G313" s="32">
        <v>185460</v>
      </c>
      <c r="J313" s="79"/>
      <c r="K313" s="30"/>
      <c r="L313" s="31"/>
    </row>
    <row r="314" spans="1:12" ht="18.95" customHeight="1">
      <c r="A314" s="75">
        <f>4208100+2188860+950340+1571400+1293060-50000-50000-150000-7000</f>
        <v>9954760</v>
      </c>
      <c r="B314" s="75"/>
      <c r="C314" s="75">
        <f t="shared" si="6"/>
        <v>9954760</v>
      </c>
      <c r="D314" s="32">
        <f>614934+624105+619579+600820</f>
        <v>2459438</v>
      </c>
      <c r="E314" s="96" t="s">
        <v>101</v>
      </c>
      <c r="F314" s="17" t="s">
        <v>260</v>
      </c>
      <c r="G314" s="32">
        <v>600820</v>
      </c>
      <c r="J314" s="79">
        <f>SUM(A313:A314)</f>
        <v>12266680</v>
      </c>
      <c r="K314" s="30"/>
      <c r="L314" s="31"/>
    </row>
    <row r="315" spans="1:12" ht="18.95" customHeight="1">
      <c r="A315" s="75">
        <f>375160+190000+100000+23000+65000+40000</f>
        <v>793160</v>
      </c>
      <c r="B315" s="75"/>
      <c r="C315" s="75">
        <f t="shared" si="6"/>
        <v>793160</v>
      </c>
      <c r="D315" s="32">
        <f>7530+15764+5430+30030</f>
        <v>58754</v>
      </c>
      <c r="E315" s="96" t="s">
        <v>83</v>
      </c>
      <c r="F315" s="17" t="s">
        <v>261</v>
      </c>
      <c r="G315" s="32">
        <v>30030</v>
      </c>
      <c r="J315" s="30"/>
      <c r="K315" s="30"/>
      <c r="L315" s="31"/>
    </row>
    <row r="316" spans="1:12" ht="18.95" customHeight="1">
      <c r="A316" s="75">
        <f>855000+570000+60000+20000+39800+20000+90000+50000+265000+65000+770280+290000+80000+100000+396000+50000+50000-500000+500000+150000</f>
        <v>3921080</v>
      </c>
      <c r="B316" s="75"/>
      <c r="C316" s="75">
        <f t="shared" si="6"/>
        <v>3921080</v>
      </c>
      <c r="D316" s="32">
        <f>31920+280268+334687.16+59809</f>
        <v>706684.15999999992</v>
      </c>
      <c r="E316" s="96" t="s">
        <v>84</v>
      </c>
      <c r="F316" s="17" t="s">
        <v>262</v>
      </c>
      <c r="G316" s="32">
        <v>59809</v>
      </c>
      <c r="J316" s="30"/>
      <c r="K316" s="30"/>
      <c r="L316" s="31"/>
    </row>
    <row r="317" spans="1:12" ht="18.95" customHeight="1">
      <c r="A317" s="75">
        <f>395000+80000+20000+15000+125500+20000+50000+869840+60000+50000</f>
        <v>1685340</v>
      </c>
      <c r="B317" s="75"/>
      <c r="C317" s="75">
        <f t="shared" si="6"/>
        <v>1685340</v>
      </c>
      <c r="D317" s="32">
        <f>8100+78208.44+21820.9+74094.42</f>
        <v>182223.76</v>
      </c>
      <c r="E317" s="95" t="s">
        <v>85</v>
      </c>
      <c r="F317" s="17" t="s">
        <v>263</v>
      </c>
      <c r="G317" s="32">
        <v>74094.42</v>
      </c>
      <c r="J317" s="79"/>
      <c r="K317" s="30"/>
      <c r="L317" s="31"/>
    </row>
    <row r="318" spans="1:12" ht="18.95" customHeight="1">
      <c r="A318" s="75">
        <f>360000+10000+8000</f>
        <v>378000</v>
      </c>
      <c r="B318" s="75"/>
      <c r="C318" s="75">
        <f t="shared" si="6"/>
        <v>378000</v>
      </c>
      <c r="D318" s="32">
        <f>13206.98+26442.49+12618.58+12248.48</f>
        <v>64516.53</v>
      </c>
      <c r="E318" s="95" t="s">
        <v>86</v>
      </c>
      <c r="F318" s="17" t="s">
        <v>264</v>
      </c>
      <c r="G318" s="32">
        <v>12248.48</v>
      </c>
      <c r="J318" s="30">
        <f>SUM(A315:A318)</f>
        <v>6777580</v>
      </c>
      <c r="K318" s="30"/>
      <c r="L318" s="31"/>
    </row>
    <row r="319" spans="1:12" ht="18.95" customHeight="1">
      <c r="A319" s="75">
        <f>108000+15000+87900</f>
        <v>210900</v>
      </c>
      <c r="B319" s="75"/>
      <c r="C319" s="75">
        <f t="shared" si="6"/>
        <v>210900</v>
      </c>
      <c r="D319" s="32">
        <v>0</v>
      </c>
      <c r="E319" s="95" t="s">
        <v>36</v>
      </c>
      <c r="F319" s="17" t="s">
        <v>265</v>
      </c>
      <c r="G319" s="32">
        <v>0</v>
      </c>
      <c r="J319" s="30"/>
      <c r="K319" s="30"/>
      <c r="L319" s="31"/>
    </row>
    <row r="320" spans="1:12" ht="18.95" customHeight="1">
      <c r="A320" s="75">
        <f>50000+3023800</f>
        <v>3073800</v>
      </c>
      <c r="B320" s="75"/>
      <c r="C320" s="75">
        <f t="shared" si="6"/>
        <v>3073800</v>
      </c>
      <c r="D320" s="32">
        <v>0</v>
      </c>
      <c r="E320" s="95" t="s">
        <v>37</v>
      </c>
      <c r="F320" s="17" t="s">
        <v>266</v>
      </c>
      <c r="G320" s="32">
        <v>0</v>
      </c>
      <c r="J320" s="30">
        <f>SUM(A319:A320)</f>
        <v>3284700</v>
      </c>
      <c r="K320" s="30"/>
      <c r="L320" s="31"/>
    </row>
    <row r="321" spans="1:12" ht="18.95" customHeight="1" thickBot="1">
      <c r="A321" s="75">
        <f>25000</f>
        <v>25000</v>
      </c>
      <c r="B321" s="101"/>
      <c r="C321" s="75">
        <f t="shared" si="6"/>
        <v>25000</v>
      </c>
      <c r="D321" s="32">
        <v>0</v>
      </c>
      <c r="E321" s="95" t="s">
        <v>102</v>
      </c>
      <c r="F321" s="17" t="s">
        <v>267</v>
      </c>
      <c r="G321" s="32">
        <v>0</v>
      </c>
      <c r="I321" s="102">
        <f>SUM(G312:G322)</f>
        <v>1371829.9</v>
      </c>
      <c r="J321" s="30">
        <f>SUM(A321)</f>
        <v>25000</v>
      </c>
      <c r="K321" s="30"/>
      <c r="L321" s="31"/>
    </row>
    <row r="322" spans="1:12" ht="18.95" customHeight="1" thickTop="1">
      <c r="A322" s="75">
        <f>180000+1288000+351100</f>
        <v>1819100</v>
      </c>
      <c r="B322" s="101"/>
      <c r="C322" s="75">
        <f t="shared" si="6"/>
        <v>1819100</v>
      </c>
      <c r="D322" s="24">
        <f>322000+297000</f>
        <v>619000</v>
      </c>
      <c r="E322" s="170" t="s">
        <v>89</v>
      </c>
      <c r="F322" s="27" t="s">
        <v>268</v>
      </c>
      <c r="G322" s="24">
        <v>297000</v>
      </c>
      <c r="J322" s="30">
        <f>SUM(A322)</f>
        <v>1819100</v>
      </c>
      <c r="K322" s="30"/>
      <c r="L322" s="31"/>
    </row>
    <row r="323" spans="1:12" s="110" customFormat="1" ht="18.95" customHeight="1" thickBot="1">
      <c r="A323" s="244">
        <f>SUM(A312:A322)</f>
        <v>36000000</v>
      </c>
      <c r="B323" s="244">
        <f>SUM(B312:B322)</f>
        <v>0</v>
      </c>
      <c r="C323" s="244">
        <f>SUM(C312:C322)</f>
        <v>36000000</v>
      </c>
      <c r="D323" s="175">
        <f>SUM(D312:D322)</f>
        <v>5398309.4500000002</v>
      </c>
      <c r="E323" s="254"/>
      <c r="F323" s="178"/>
      <c r="G323" s="244">
        <f>SUM(G312:G322)</f>
        <v>1371829.9</v>
      </c>
      <c r="I323" s="111"/>
      <c r="J323" s="36">
        <f>SUM(J312:J322)</f>
        <v>36000000</v>
      </c>
      <c r="K323" s="36"/>
      <c r="L323" s="131"/>
    </row>
    <row r="324" spans="1:12" ht="18.95" customHeight="1" thickTop="1">
      <c r="A324" s="171"/>
      <c r="B324" s="171"/>
      <c r="C324" s="171"/>
      <c r="D324" s="23">
        <f>810700+846044+833348+831016</f>
        <v>3321108</v>
      </c>
      <c r="E324" s="21" t="s">
        <v>179</v>
      </c>
      <c r="F324" s="20" t="s">
        <v>256</v>
      </c>
      <c r="G324" s="172">
        <f>1500+242400+566700+20416</f>
        <v>831016</v>
      </c>
      <c r="J324" s="30"/>
      <c r="K324" s="30"/>
      <c r="L324" s="31"/>
    </row>
    <row r="325" spans="1:12" ht="18.95" customHeight="1">
      <c r="A325" s="75"/>
      <c r="B325" s="32"/>
      <c r="C325" s="75"/>
      <c r="D325" s="26">
        <f>1186831.48+650000+521617+1236675.86</f>
        <v>3595124.34</v>
      </c>
      <c r="E325" s="15" t="s">
        <v>180</v>
      </c>
      <c r="F325" s="25">
        <v>21010000</v>
      </c>
      <c r="G325" s="32">
        <v>1236675.8600000001</v>
      </c>
      <c r="I325" s="98"/>
      <c r="J325" s="30"/>
      <c r="K325" s="30"/>
      <c r="L325" s="31"/>
    </row>
    <row r="326" spans="1:12" ht="18.95" customHeight="1">
      <c r="A326" s="75"/>
      <c r="B326" s="126"/>
      <c r="C326" s="75"/>
      <c r="D326" s="26">
        <f>84067.88+20590.73+35465.17</f>
        <v>140123.78</v>
      </c>
      <c r="E326" s="15" t="s">
        <v>241</v>
      </c>
      <c r="F326" s="17" t="s">
        <v>254</v>
      </c>
      <c r="G326" s="32">
        <f>2079.17+22700+10686</f>
        <v>35465.17</v>
      </c>
      <c r="J326" s="30"/>
      <c r="K326" s="30"/>
      <c r="L326" s="31"/>
    </row>
    <row r="327" spans="1:12" ht="18.95" customHeight="1">
      <c r="A327" s="75"/>
      <c r="B327" s="126"/>
      <c r="C327" s="75"/>
      <c r="D327" s="26"/>
      <c r="E327" s="15"/>
      <c r="F327" s="17"/>
      <c r="G327" s="32"/>
      <c r="J327" s="30"/>
      <c r="K327" s="30"/>
      <c r="L327" s="31"/>
    </row>
    <row r="328" spans="1:12" ht="18.95" customHeight="1">
      <c r="A328" s="75"/>
      <c r="B328" s="24"/>
      <c r="C328" s="75"/>
      <c r="D328" s="26"/>
      <c r="E328" s="15"/>
      <c r="F328" s="25"/>
      <c r="G328" s="32"/>
      <c r="I328" s="98"/>
      <c r="J328" s="30"/>
      <c r="K328" s="30"/>
      <c r="L328" s="31"/>
    </row>
    <row r="329" spans="1:12" ht="18.95" customHeight="1">
      <c r="A329" s="75"/>
      <c r="B329" s="32"/>
      <c r="C329" s="75"/>
      <c r="D329" s="26"/>
      <c r="E329" s="15"/>
      <c r="F329" s="25"/>
      <c r="G329" s="32"/>
      <c r="I329" s="98"/>
      <c r="J329" s="30"/>
      <c r="K329" s="30"/>
      <c r="L329" s="31"/>
    </row>
    <row r="330" spans="1:12" ht="18.95" customHeight="1">
      <c r="A330" s="14"/>
      <c r="B330" s="127"/>
      <c r="C330" s="127"/>
      <c r="D330" s="26">
        <v>0</v>
      </c>
      <c r="E330" s="128"/>
      <c r="F330" s="17"/>
      <c r="G330" s="32">
        <v>0</v>
      </c>
    </row>
    <row r="331" spans="1:12" ht="18.95" customHeight="1">
      <c r="A331" s="14"/>
      <c r="B331" s="127"/>
      <c r="C331" s="127"/>
      <c r="D331" s="26">
        <v>0</v>
      </c>
      <c r="E331" s="128"/>
      <c r="F331" s="17"/>
      <c r="G331" s="32">
        <v>0</v>
      </c>
    </row>
    <row r="332" spans="1:12" ht="18.95" customHeight="1">
      <c r="A332" s="14"/>
      <c r="B332" s="127"/>
      <c r="C332" s="127"/>
      <c r="D332" s="26">
        <v>0</v>
      </c>
      <c r="E332" s="128"/>
      <c r="F332" s="17"/>
      <c r="G332" s="32">
        <v>0</v>
      </c>
    </row>
    <row r="333" spans="1:12" ht="18.95" customHeight="1">
      <c r="A333" s="14"/>
      <c r="B333" s="127"/>
      <c r="C333" s="127"/>
      <c r="D333" s="26">
        <v>0</v>
      </c>
      <c r="E333" s="105"/>
      <c r="F333" s="17"/>
      <c r="G333" s="32">
        <v>0</v>
      </c>
    </row>
    <row r="334" spans="1:12" ht="18.95" customHeight="1">
      <c r="A334" s="123"/>
      <c r="B334" s="22"/>
      <c r="C334" s="22"/>
      <c r="D334" s="26">
        <v>0</v>
      </c>
      <c r="E334" s="133"/>
      <c r="F334" s="20"/>
      <c r="G334" s="19">
        <v>0</v>
      </c>
    </row>
    <row r="335" spans="1:12" ht="27" customHeight="1" thickBot="1">
      <c r="A335" s="179"/>
      <c r="B335" s="179"/>
      <c r="C335" s="179"/>
      <c r="D335" s="175">
        <f>SUM(D323:D334)</f>
        <v>12454665.569999998</v>
      </c>
      <c r="E335" s="180" t="s">
        <v>32</v>
      </c>
      <c r="F335" s="181"/>
      <c r="G335" s="182">
        <f>SUM(G323+G324+G325+G326+G327+G328+G329+G330)</f>
        <v>3474986.9299999997</v>
      </c>
      <c r="J335" s="30"/>
      <c r="K335" s="30"/>
      <c r="L335" s="31"/>
    </row>
    <row r="336" spans="1:12" ht="22.5" customHeight="1" thickTop="1">
      <c r="A336" s="87"/>
      <c r="B336" s="87"/>
      <c r="C336" s="87"/>
      <c r="D336" s="99">
        <f>SUM(D295-D335)</f>
        <v>4525249.4600000028</v>
      </c>
      <c r="E336" s="107" t="s">
        <v>38</v>
      </c>
      <c r="F336" s="108"/>
      <c r="G336" s="100">
        <f>SUM(G295-G335)</f>
        <v>3380123.0300000012</v>
      </c>
    </row>
    <row r="337" spans="1:9" ht="20.25" customHeight="1">
      <c r="A337" s="87"/>
      <c r="B337" s="87"/>
      <c r="C337" s="22"/>
      <c r="D337" s="26"/>
      <c r="E337" s="70" t="s">
        <v>187</v>
      </c>
      <c r="F337" s="108"/>
      <c r="G337" s="32"/>
    </row>
    <row r="338" spans="1:9" ht="21" customHeight="1">
      <c r="A338" s="42"/>
      <c r="B338" s="42"/>
      <c r="C338" s="97"/>
      <c r="D338" s="100"/>
      <c r="E338" s="107" t="s">
        <v>103</v>
      </c>
      <c r="F338" s="108"/>
      <c r="G338" s="100"/>
    </row>
    <row r="339" spans="1:9" ht="21" customHeight="1" thickBot="1">
      <c r="A339" s="87"/>
      <c r="B339" s="87"/>
      <c r="C339" s="22"/>
      <c r="D339" s="34">
        <f>SUM(D271+D336)</f>
        <v>25488246.93</v>
      </c>
      <c r="E339" s="107" t="s">
        <v>104</v>
      </c>
      <c r="F339" s="108"/>
      <c r="G339" s="34">
        <f>SUM(G271+G336)</f>
        <v>25488246.93</v>
      </c>
      <c r="I339" s="187">
        <f>SUM(D339-G339)</f>
        <v>0</v>
      </c>
    </row>
    <row r="340" spans="1:9" ht="5.25" customHeight="1" thickTop="1">
      <c r="A340" s="87"/>
      <c r="B340" s="87"/>
      <c r="C340" s="87"/>
      <c r="D340" s="74"/>
      <c r="E340" s="271"/>
      <c r="F340" s="88"/>
      <c r="G340" s="78"/>
    </row>
    <row r="341" spans="1:9" ht="18.95" customHeight="1">
      <c r="A341" s="87" t="s">
        <v>19</v>
      </c>
      <c r="B341" s="87"/>
      <c r="C341" s="87"/>
      <c r="D341" s="74"/>
      <c r="E341" s="271"/>
      <c r="F341" s="88"/>
      <c r="G341" s="78"/>
    </row>
    <row r="342" spans="1:9" ht="20.25" customHeight="1">
      <c r="A342" s="87" t="s">
        <v>290</v>
      </c>
      <c r="B342" s="87"/>
      <c r="C342" s="87"/>
      <c r="D342" s="74"/>
      <c r="E342" s="271"/>
      <c r="F342" s="88"/>
      <c r="G342" s="78"/>
      <c r="I342" s="3">
        <v>25487668.93</v>
      </c>
    </row>
    <row r="343" spans="1:9" ht="20.25" customHeight="1">
      <c r="A343" s="87"/>
      <c r="B343" s="87"/>
      <c r="C343" s="87"/>
      <c r="D343" s="74"/>
      <c r="E343" s="271"/>
      <c r="F343" s="88"/>
      <c r="G343" s="78"/>
    </row>
    <row r="344" spans="1:9" ht="21" customHeight="1">
      <c r="A344" s="87" t="s">
        <v>79</v>
      </c>
      <c r="B344" s="87"/>
      <c r="C344" s="87"/>
      <c r="D344" s="30"/>
      <c r="E344" s="77"/>
      <c r="F344" s="88"/>
      <c r="G344" s="42"/>
      <c r="I344" s="3">
        <v>550</v>
      </c>
    </row>
    <row r="345" spans="1:9" ht="21" customHeight="1">
      <c r="A345" s="87"/>
      <c r="B345" s="87"/>
      <c r="C345" s="87"/>
      <c r="D345" s="30"/>
      <c r="E345" s="77"/>
      <c r="F345" s="88"/>
      <c r="G345" s="42"/>
      <c r="I345" s="3">
        <f>SUM(G339-I344)</f>
        <v>25487696.93</v>
      </c>
    </row>
    <row r="346" spans="1:9" ht="23.25" customHeight="1">
      <c r="A346" s="87" t="s">
        <v>190</v>
      </c>
      <c r="B346" s="87"/>
      <c r="C346" s="87"/>
      <c r="D346" s="74"/>
      <c r="E346" s="271"/>
      <c r="F346" s="88"/>
      <c r="G346" s="78"/>
    </row>
    <row r="347" spans="1:9" ht="18.95" customHeight="1">
      <c r="A347" s="87" t="s">
        <v>186</v>
      </c>
      <c r="B347" s="87"/>
      <c r="C347" s="87"/>
      <c r="D347" s="74"/>
      <c r="E347" s="271"/>
      <c r="F347" s="88"/>
      <c r="G347" s="78"/>
    </row>
    <row r="350" spans="1:9" ht="18.95" customHeight="1">
      <c r="A350" s="303" t="s">
        <v>20</v>
      </c>
      <c r="B350" s="303"/>
      <c r="C350" s="303"/>
      <c r="D350" s="303"/>
      <c r="E350" s="303"/>
      <c r="F350" s="303"/>
      <c r="G350" s="303"/>
    </row>
    <row r="351" spans="1:9" ht="18.95" customHeight="1">
      <c r="A351" s="303" t="s">
        <v>92</v>
      </c>
      <c r="B351" s="303"/>
      <c r="C351" s="303"/>
      <c r="D351" s="303"/>
      <c r="E351" s="303"/>
      <c r="F351" s="303"/>
      <c r="G351" s="303"/>
    </row>
    <row r="352" spans="1:9" ht="18.95" customHeight="1">
      <c r="A352" s="303" t="s">
        <v>306</v>
      </c>
      <c r="B352" s="303"/>
      <c r="C352" s="303"/>
      <c r="D352" s="303"/>
      <c r="E352" s="303"/>
      <c r="F352" s="303"/>
      <c r="G352" s="303"/>
    </row>
    <row r="353" spans="1:11" ht="18.95" customHeight="1" thickBot="1">
      <c r="A353" s="304"/>
      <c r="B353" s="304"/>
      <c r="C353" s="304"/>
      <c r="D353" s="304"/>
      <c r="E353" s="304"/>
      <c r="F353" s="304"/>
      <c r="G353" s="304"/>
    </row>
    <row r="354" spans="1:11" ht="18.95" customHeight="1" thickTop="1" thickBot="1">
      <c r="A354" s="300" t="s">
        <v>6</v>
      </c>
      <c r="B354" s="301"/>
      <c r="C354" s="301"/>
      <c r="D354" s="302"/>
      <c r="E354" s="4"/>
      <c r="F354" s="5" t="s">
        <v>16</v>
      </c>
      <c r="G354" s="125" t="s">
        <v>26</v>
      </c>
    </row>
    <row r="355" spans="1:11" ht="18.95" customHeight="1" thickTop="1">
      <c r="A355" s="118" t="s">
        <v>1</v>
      </c>
      <c r="B355" s="114" t="s">
        <v>93</v>
      </c>
      <c r="C355" s="114" t="s">
        <v>97</v>
      </c>
      <c r="D355" s="6" t="s">
        <v>7</v>
      </c>
      <c r="E355" s="4" t="s">
        <v>8</v>
      </c>
      <c r="F355" s="8" t="s">
        <v>17</v>
      </c>
      <c r="G355" s="115" t="s">
        <v>18</v>
      </c>
    </row>
    <row r="356" spans="1:11" ht="18.95" customHeight="1">
      <c r="A356" s="119" t="s">
        <v>96</v>
      </c>
      <c r="B356" s="9" t="s">
        <v>94</v>
      </c>
      <c r="C356" s="9" t="s">
        <v>96</v>
      </c>
      <c r="D356" s="116" t="s">
        <v>96</v>
      </c>
      <c r="E356" s="7"/>
      <c r="F356" s="8"/>
      <c r="G356" s="115" t="s">
        <v>98</v>
      </c>
    </row>
    <row r="357" spans="1:11" ht="18.95" customHeight="1" thickBot="1">
      <c r="A357" s="117"/>
      <c r="B357" s="13" t="s">
        <v>95</v>
      </c>
      <c r="C357" s="10"/>
      <c r="D357" s="277"/>
      <c r="E357" s="11"/>
      <c r="F357" s="12"/>
      <c r="G357" s="13" t="s">
        <v>96</v>
      </c>
    </row>
    <row r="358" spans="1:11" s="150" customFormat="1" ht="18.95" customHeight="1" thickTop="1" thickBot="1">
      <c r="A358" s="149"/>
      <c r="B358" s="149"/>
      <c r="C358" s="149"/>
      <c r="D358" s="154">
        <f>20962997.47</f>
        <v>20962997.469999999</v>
      </c>
      <c r="E358" s="152" t="s">
        <v>3</v>
      </c>
      <c r="F358" s="153"/>
      <c r="G358" s="34">
        <f>SUM(G339)</f>
        <v>25488246.93</v>
      </c>
      <c r="I358" s="151"/>
      <c r="J358" s="151"/>
      <c r="K358" s="151"/>
    </row>
    <row r="359" spans="1:11" ht="18.95" customHeight="1" thickTop="1">
      <c r="A359" s="14"/>
      <c r="B359" s="14"/>
      <c r="C359" s="14"/>
      <c r="D359" s="15"/>
      <c r="E359" s="16" t="s">
        <v>68</v>
      </c>
      <c r="F359" s="17"/>
      <c r="G359" s="14"/>
    </row>
    <row r="360" spans="1:11" s="110" customFormat="1" ht="18.95" customHeight="1">
      <c r="A360" s="255">
        <f>C360</f>
        <v>186000</v>
      </c>
      <c r="B360" s="32"/>
      <c r="C360" s="255">
        <v>186000</v>
      </c>
      <c r="D360" s="32">
        <f>497.26+4449.04+41526.04</f>
        <v>46472.340000000004</v>
      </c>
      <c r="E360" s="15" t="s">
        <v>9</v>
      </c>
      <c r="F360" s="121" t="s">
        <v>246</v>
      </c>
      <c r="G360" s="32">
        <f>27997+8757.04+4772</f>
        <v>41526.04</v>
      </c>
      <c r="I360" s="111"/>
      <c r="J360" s="111"/>
      <c r="K360" s="111"/>
    </row>
    <row r="361" spans="1:11" s="110" customFormat="1" ht="18.95" customHeight="1">
      <c r="A361" s="255">
        <f>C361</f>
        <v>113500</v>
      </c>
      <c r="B361" s="32"/>
      <c r="C361" s="255">
        <v>113500</v>
      </c>
      <c r="D361" s="32">
        <f>55+20+200+50+11562+3290+1976+15891</f>
        <v>33044</v>
      </c>
      <c r="E361" s="15" t="s">
        <v>10</v>
      </c>
      <c r="F361" s="121" t="s">
        <v>247</v>
      </c>
      <c r="G361" s="32">
        <f>56+400+8100+25+1080+6230</f>
        <v>15891</v>
      </c>
      <c r="I361" s="111"/>
      <c r="J361" s="111"/>
      <c r="K361" s="111"/>
    </row>
    <row r="362" spans="1:11" s="110" customFormat="1" ht="18.95" customHeight="1">
      <c r="A362" s="255">
        <f>C362</f>
        <v>100000</v>
      </c>
      <c r="B362" s="32"/>
      <c r="C362" s="255">
        <v>100000</v>
      </c>
      <c r="D362" s="32">
        <f>53111.51+9626.17</f>
        <v>62737.68</v>
      </c>
      <c r="E362" s="15" t="s">
        <v>11</v>
      </c>
      <c r="F362" s="121" t="s">
        <v>248</v>
      </c>
      <c r="G362" s="32">
        <f>9626.17</f>
        <v>9626.17</v>
      </c>
      <c r="I362" s="111"/>
      <c r="J362" s="111"/>
      <c r="K362" s="111"/>
    </row>
    <row r="363" spans="1:11" s="110" customFormat="1" ht="18.95" customHeight="1">
      <c r="A363" s="255">
        <v>0</v>
      </c>
      <c r="B363" s="32"/>
      <c r="C363" s="255">
        <f>SUM(A363:B363)</f>
        <v>0</v>
      </c>
      <c r="D363" s="32">
        <v>0</v>
      </c>
      <c r="E363" s="15" t="s">
        <v>12</v>
      </c>
      <c r="F363" s="121" t="s">
        <v>249</v>
      </c>
      <c r="G363" s="32">
        <v>0</v>
      </c>
      <c r="I363" s="111"/>
      <c r="J363" s="111"/>
      <c r="K363" s="111"/>
    </row>
    <row r="364" spans="1:11" s="110" customFormat="1" ht="18.95" customHeight="1">
      <c r="A364" s="255">
        <f>C364</f>
        <v>10500</v>
      </c>
      <c r="B364" s="32"/>
      <c r="C364" s="255">
        <v>10500</v>
      </c>
      <c r="D364" s="32">
        <f>2000+296+28</f>
        <v>2324</v>
      </c>
      <c r="E364" s="15" t="s">
        <v>13</v>
      </c>
      <c r="F364" s="121" t="s">
        <v>250</v>
      </c>
      <c r="G364" s="32">
        <v>0</v>
      </c>
      <c r="I364" s="111"/>
      <c r="J364" s="111"/>
      <c r="K364" s="111"/>
    </row>
    <row r="365" spans="1:11" s="110" customFormat="1" ht="18.95" customHeight="1">
      <c r="A365" s="255">
        <v>0</v>
      </c>
      <c r="B365" s="32"/>
      <c r="C365" s="255">
        <f>SUM(A365:B365)</f>
        <v>0</v>
      </c>
      <c r="D365" s="32">
        <v>0</v>
      </c>
      <c r="E365" s="15" t="s">
        <v>14</v>
      </c>
      <c r="F365" s="121" t="s">
        <v>251</v>
      </c>
      <c r="G365" s="32">
        <v>0</v>
      </c>
      <c r="I365" s="111"/>
      <c r="J365" s="111"/>
      <c r="K365" s="111"/>
    </row>
    <row r="366" spans="1:11" s="110" customFormat="1" ht="18.95" customHeight="1">
      <c r="A366" s="255">
        <f>C366</f>
        <v>15590000</v>
      </c>
      <c r="B366" s="32"/>
      <c r="C366" s="255">
        <v>15590000</v>
      </c>
      <c r="D366" s="32">
        <f>807681.19+136065.98+375552.6+11585.92+44513+1553344.35+1529741.63+1204336.32+1597499.99</f>
        <v>7260320.9800000004</v>
      </c>
      <c r="E366" s="15" t="s">
        <v>15</v>
      </c>
      <c r="F366" s="121" t="s">
        <v>252</v>
      </c>
      <c r="G366" s="32">
        <f>56196.76+789317.83+201691.06+10401.84+476303.7+10432.8+53156</f>
        <v>1597499.99</v>
      </c>
      <c r="I366" s="111"/>
      <c r="J366" s="111"/>
      <c r="K366" s="111"/>
    </row>
    <row r="367" spans="1:11" s="110" customFormat="1" ht="18.95" customHeight="1">
      <c r="A367" s="255">
        <v>20000000</v>
      </c>
      <c r="B367" s="32"/>
      <c r="C367" s="255">
        <f>SUM(A367:B367)</f>
        <v>20000000</v>
      </c>
      <c r="D367" s="32">
        <f>5566536+4689911+689000</f>
        <v>10945447</v>
      </c>
      <c r="E367" s="15" t="s">
        <v>52</v>
      </c>
      <c r="F367" s="121" t="s">
        <v>253</v>
      </c>
      <c r="G367" s="32">
        <v>689000</v>
      </c>
      <c r="I367" s="111"/>
      <c r="J367" s="147">
        <f>SUM(G360:G367)</f>
        <v>2353543.2000000002</v>
      </c>
      <c r="K367" s="147" t="s">
        <v>159</v>
      </c>
    </row>
    <row r="368" spans="1:11" s="110" customFormat="1" ht="18.95" customHeight="1">
      <c r="A368" s="256"/>
      <c r="B368" s="275"/>
      <c r="C368" s="275"/>
      <c r="D368" s="275"/>
      <c r="E368" s="15"/>
      <c r="F368" s="162"/>
      <c r="G368" s="24"/>
      <c r="I368" s="111"/>
      <c r="J368" s="111"/>
      <c r="K368" s="111"/>
    </row>
    <row r="369" spans="1:12" s="156" customFormat="1" ht="18.95" customHeight="1" thickBot="1">
      <c r="A369" s="182">
        <f>SUM(A360:A368)</f>
        <v>36000000</v>
      </c>
      <c r="B369" s="182">
        <f>SUM(B360:B368)</f>
        <v>0</v>
      </c>
      <c r="C369" s="182">
        <f>SUM(C360:C368)</f>
        <v>36000000</v>
      </c>
      <c r="D369" s="175">
        <f>SUM(D360:D368)</f>
        <v>18350346</v>
      </c>
      <c r="E369" s="258"/>
      <c r="F369" s="164"/>
      <c r="G369" s="175">
        <f>SUM(G360:G368)</f>
        <v>2353543.2000000002</v>
      </c>
      <c r="I369" s="147"/>
      <c r="J369" s="147"/>
      <c r="K369" s="147"/>
    </row>
    <row r="370" spans="1:12" s="110" customFormat="1" ht="21.75" customHeight="1" thickTop="1">
      <c r="A370" s="259"/>
      <c r="B370" s="23"/>
      <c r="C370" s="260"/>
      <c r="D370" s="23">
        <f>40510.97+38103.17+23622.23+103996.55</f>
        <v>206232.91999999998</v>
      </c>
      <c r="E370" s="15" t="s">
        <v>162</v>
      </c>
      <c r="F370" s="17" t="s">
        <v>254</v>
      </c>
      <c r="G370" s="24">
        <f>558.96+62950+200+28601.59+1000+10686</f>
        <v>103996.55</v>
      </c>
      <c r="I370" s="111"/>
      <c r="J370" s="111"/>
      <c r="K370" s="111"/>
    </row>
    <row r="371" spans="1:12" s="110" customFormat="1" ht="18.95" customHeight="1">
      <c r="A371" s="14"/>
      <c r="B371" s="14"/>
      <c r="C371" s="14"/>
      <c r="D371" s="24">
        <f>873675.86+2534000</f>
        <v>3407675.86</v>
      </c>
      <c r="E371" s="15" t="s">
        <v>137</v>
      </c>
      <c r="F371" s="17" t="s">
        <v>255</v>
      </c>
      <c r="G371" s="24">
        <f>2534000</f>
        <v>2534000</v>
      </c>
      <c r="I371" s="111"/>
      <c r="J371" s="111"/>
      <c r="K371" s="111"/>
    </row>
    <row r="372" spans="1:12" s="110" customFormat="1" ht="18.95" customHeight="1">
      <c r="A372" s="32"/>
      <c r="B372" s="32"/>
      <c r="C372" s="32"/>
      <c r="D372" s="26">
        <f>600+800</f>
        <v>1400</v>
      </c>
      <c r="E372" s="173" t="s">
        <v>189</v>
      </c>
      <c r="F372" s="17" t="s">
        <v>256</v>
      </c>
      <c r="G372" s="24">
        <v>0</v>
      </c>
      <c r="I372" s="111"/>
      <c r="J372" s="111"/>
      <c r="K372" s="111"/>
    </row>
    <row r="373" spans="1:12" s="110" customFormat="1" ht="18.95" customHeight="1">
      <c r="A373" s="14"/>
      <c r="B373" s="14"/>
      <c r="C373" s="14"/>
      <c r="D373" s="26">
        <f>4000+940</f>
        <v>4940</v>
      </c>
      <c r="E373" s="15" t="s">
        <v>291</v>
      </c>
      <c r="F373" s="17" t="s">
        <v>256</v>
      </c>
      <c r="G373" s="32">
        <v>940</v>
      </c>
      <c r="I373" s="111"/>
      <c r="J373" s="111"/>
      <c r="K373" s="111"/>
    </row>
    <row r="374" spans="1:12" s="110" customFormat="1" ht="18.95" customHeight="1">
      <c r="A374" s="14"/>
      <c r="B374" s="14"/>
      <c r="C374" s="14"/>
      <c r="D374" s="37">
        <f>1200+600</f>
        <v>1800</v>
      </c>
      <c r="E374" s="15" t="s">
        <v>99</v>
      </c>
      <c r="F374" s="17" t="s">
        <v>258</v>
      </c>
      <c r="G374" s="24">
        <v>0</v>
      </c>
      <c r="I374" s="111"/>
      <c r="J374" s="111"/>
      <c r="K374" s="111"/>
    </row>
    <row r="375" spans="1:12" s="110" customFormat="1" ht="18.95" customHeight="1">
      <c r="A375" s="14"/>
      <c r="B375" s="14"/>
      <c r="C375" s="14"/>
      <c r="D375" s="23"/>
      <c r="E375" s="15"/>
      <c r="F375" s="17"/>
      <c r="G375" s="32"/>
      <c r="I375" s="111"/>
      <c r="J375" s="111"/>
      <c r="K375" s="111"/>
    </row>
    <row r="376" spans="1:12" s="110" customFormat="1" ht="18.95" customHeight="1">
      <c r="A376" s="14"/>
      <c r="B376" s="14"/>
      <c r="C376" s="14"/>
      <c r="D376" s="23"/>
      <c r="E376" s="15"/>
      <c r="F376" s="17"/>
      <c r="G376" s="32"/>
      <c r="I376" s="111"/>
      <c r="J376" s="111"/>
      <c r="K376" s="111"/>
    </row>
    <row r="377" spans="1:12" s="110" customFormat="1" ht="18.95" customHeight="1">
      <c r="A377" s="14"/>
      <c r="B377" s="14"/>
      <c r="C377" s="14"/>
      <c r="D377" s="23"/>
      <c r="E377" s="15"/>
      <c r="F377" s="17"/>
      <c r="G377" s="32"/>
      <c r="I377" s="111"/>
      <c r="J377" s="111"/>
      <c r="K377" s="111"/>
    </row>
    <row r="378" spans="1:12" s="110" customFormat="1" ht="18.95" customHeight="1">
      <c r="A378" s="14"/>
      <c r="B378" s="14"/>
      <c r="C378" s="14"/>
      <c r="D378" s="23"/>
      <c r="E378" s="15"/>
      <c r="F378" s="17"/>
      <c r="G378" s="32"/>
      <c r="I378" s="111"/>
      <c r="J378" s="111"/>
      <c r="K378" s="111"/>
    </row>
    <row r="379" spans="1:12" ht="18.95" customHeight="1">
      <c r="A379" s="14"/>
      <c r="B379" s="14"/>
      <c r="C379" s="14"/>
      <c r="D379" s="23"/>
      <c r="E379" s="15"/>
      <c r="F379" s="17"/>
      <c r="G379" s="32"/>
    </row>
    <row r="380" spans="1:12" ht="18.95" customHeight="1">
      <c r="A380" s="14"/>
      <c r="B380" s="14"/>
      <c r="C380" s="14"/>
      <c r="D380" s="91"/>
      <c r="E380" s="15"/>
      <c r="F380" s="17"/>
      <c r="G380" s="32"/>
    </row>
    <row r="381" spans="1:12" ht="18.95" customHeight="1">
      <c r="A381" s="73"/>
      <c r="B381" s="22"/>
      <c r="C381" s="22"/>
      <c r="D381" s="35"/>
      <c r="E381" s="28"/>
      <c r="F381" s="20"/>
      <c r="G381" s="19"/>
    </row>
    <row r="382" spans="1:12" s="110" customFormat="1" ht="18.95" customHeight="1">
      <c r="A382" s="179"/>
      <c r="B382" s="179"/>
      <c r="C382" s="179"/>
      <c r="D382" s="66">
        <f>SUM(D369:D381)</f>
        <v>21972394.780000001</v>
      </c>
      <c r="E382" s="72" t="s">
        <v>4</v>
      </c>
      <c r="F382" s="261"/>
      <c r="G382" s="262">
        <f>SUM(G369:G381)</f>
        <v>4992479.75</v>
      </c>
      <c r="I382" s="111"/>
      <c r="J382" s="111"/>
      <c r="K382" s="111"/>
    </row>
    <row r="383" spans="1:12" ht="18.95" customHeight="1">
      <c r="A383" s="87"/>
      <c r="B383" s="87"/>
      <c r="C383" s="87"/>
      <c r="D383" s="106"/>
      <c r="E383" s="278"/>
      <c r="F383" s="88"/>
      <c r="G383" s="78"/>
      <c r="J383" s="30"/>
      <c r="K383" s="30"/>
      <c r="L383" s="31"/>
    </row>
    <row r="384" spans="1:12" ht="18.95" customHeight="1">
      <c r="A384" s="87"/>
      <c r="B384" s="87"/>
      <c r="C384" s="87"/>
      <c r="D384" s="106"/>
      <c r="E384" s="278"/>
      <c r="F384" s="88"/>
      <c r="G384" s="78"/>
      <c r="J384" s="30"/>
      <c r="K384" s="30"/>
      <c r="L384" s="31"/>
    </row>
    <row r="385" spans="1:12" ht="18.95" customHeight="1">
      <c r="A385" s="87"/>
      <c r="B385" s="87"/>
      <c r="C385" s="87"/>
      <c r="D385" s="106"/>
      <c r="E385" s="278"/>
      <c r="F385" s="88"/>
      <c r="G385" s="78"/>
      <c r="J385" s="30"/>
      <c r="K385" s="30"/>
      <c r="L385" s="31"/>
    </row>
    <row r="386" spans="1:12" ht="18.95" customHeight="1">
      <c r="A386" s="87"/>
      <c r="B386" s="87"/>
      <c r="C386" s="87"/>
      <c r="D386" s="106"/>
      <c r="E386" s="278"/>
      <c r="F386" s="88"/>
      <c r="G386" s="78"/>
      <c r="J386" s="30"/>
      <c r="K386" s="30"/>
      <c r="L386" s="31"/>
    </row>
    <row r="387" spans="1:12" ht="18.95" customHeight="1">
      <c r="A387" s="87"/>
      <c r="B387" s="87"/>
      <c r="C387" s="87"/>
      <c r="D387" s="106"/>
      <c r="E387" s="278"/>
      <c r="F387" s="88"/>
      <c r="G387" s="78"/>
      <c r="J387" s="30"/>
      <c r="K387" s="30"/>
      <c r="L387" s="31"/>
    </row>
    <row r="388" spans="1:12" ht="18.95" customHeight="1">
      <c r="A388" s="87"/>
      <c r="B388" s="87"/>
      <c r="C388" s="87"/>
      <c r="D388" s="106"/>
      <c r="E388" s="278"/>
      <c r="F388" s="88"/>
      <c r="G388" s="78"/>
      <c r="J388" s="30"/>
      <c r="K388" s="30"/>
      <c r="L388" s="31"/>
    </row>
    <row r="389" spans="1:12" ht="18.95" customHeight="1">
      <c r="A389" s="87"/>
      <c r="B389" s="87"/>
      <c r="C389" s="87"/>
      <c r="D389" s="106"/>
      <c r="E389" s="278"/>
      <c r="F389" s="88"/>
      <c r="G389" s="78"/>
      <c r="J389" s="30"/>
      <c r="K389" s="30"/>
      <c r="L389" s="31"/>
    </row>
    <row r="390" spans="1:12" ht="18.95" customHeight="1">
      <c r="A390" s="87"/>
      <c r="B390" s="87"/>
      <c r="C390" s="87"/>
      <c r="D390" s="106"/>
      <c r="E390" s="278"/>
      <c r="F390" s="88"/>
      <c r="G390" s="78"/>
      <c r="J390" s="30"/>
      <c r="K390" s="30"/>
      <c r="L390" s="31"/>
    </row>
    <row r="391" spans="1:12" ht="18.95" customHeight="1">
      <c r="A391" s="87"/>
      <c r="B391" s="87"/>
      <c r="C391" s="87"/>
      <c r="D391" s="106"/>
      <c r="E391" s="278"/>
      <c r="F391" s="88"/>
      <c r="G391" s="78"/>
      <c r="J391" s="30"/>
      <c r="K391" s="30"/>
      <c r="L391" s="31"/>
    </row>
    <row r="392" spans="1:12" ht="18.95" customHeight="1">
      <c r="A392" s="87"/>
      <c r="B392" s="87"/>
      <c r="C392" s="87"/>
      <c r="D392" s="106"/>
      <c r="E392" s="278"/>
      <c r="F392" s="88"/>
      <c r="G392" s="78"/>
      <c r="J392" s="30"/>
      <c r="K392" s="30"/>
      <c r="L392" s="31"/>
    </row>
    <row r="393" spans="1:12" ht="18.95" customHeight="1" thickBot="1">
      <c r="A393" s="87"/>
      <c r="B393" s="87"/>
      <c r="C393" s="87"/>
      <c r="D393" s="106"/>
      <c r="E393" s="278"/>
      <c r="F393" s="88"/>
      <c r="G393" s="78"/>
      <c r="J393" s="30"/>
      <c r="K393" s="30"/>
      <c r="L393" s="31"/>
    </row>
    <row r="394" spans="1:12" ht="18.95" customHeight="1" thickTop="1" thickBot="1">
      <c r="A394" s="300" t="s">
        <v>6</v>
      </c>
      <c r="B394" s="301"/>
      <c r="C394" s="301"/>
      <c r="D394" s="302"/>
      <c r="E394" s="4"/>
      <c r="F394" s="5" t="s">
        <v>16</v>
      </c>
      <c r="G394" s="125" t="s">
        <v>26</v>
      </c>
    </row>
    <row r="395" spans="1:12" ht="18.95" customHeight="1" thickTop="1">
      <c r="A395" s="118" t="s">
        <v>1</v>
      </c>
      <c r="B395" s="114" t="s">
        <v>93</v>
      </c>
      <c r="C395" s="114" t="s">
        <v>97</v>
      </c>
      <c r="D395" s="6" t="s">
        <v>7</v>
      </c>
      <c r="E395" s="4" t="s">
        <v>8</v>
      </c>
      <c r="F395" s="8" t="s">
        <v>17</v>
      </c>
      <c r="G395" s="115" t="s">
        <v>18</v>
      </c>
    </row>
    <row r="396" spans="1:12" ht="18.95" customHeight="1">
      <c r="A396" s="119" t="s">
        <v>96</v>
      </c>
      <c r="B396" s="9" t="s">
        <v>94</v>
      </c>
      <c r="C396" s="9" t="s">
        <v>96</v>
      </c>
      <c r="D396" s="116" t="s">
        <v>96</v>
      </c>
      <c r="E396" s="7"/>
      <c r="F396" s="8"/>
      <c r="G396" s="115" t="s">
        <v>98</v>
      </c>
    </row>
    <row r="397" spans="1:12" ht="18.95" customHeight="1" thickBot="1">
      <c r="A397" s="117"/>
      <c r="B397" s="13" t="s">
        <v>95</v>
      </c>
      <c r="C397" s="10"/>
      <c r="D397" s="277"/>
      <c r="E397" s="11"/>
      <c r="F397" s="12"/>
      <c r="G397" s="13" t="s">
        <v>96</v>
      </c>
    </row>
    <row r="398" spans="1:12" ht="18.95" customHeight="1" thickTop="1">
      <c r="A398" s="89"/>
      <c r="B398" s="89"/>
      <c r="C398" s="89"/>
      <c r="D398" s="92"/>
      <c r="E398" s="93" t="s">
        <v>31</v>
      </c>
      <c r="F398" s="94"/>
      <c r="G398" s="89"/>
      <c r="J398" s="75"/>
      <c r="K398" s="30"/>
      <c r="L398" s="31"/>
    </row>
    <row r="399" spans="1:12" ht="18.95" customHeight="1">
      <c r="A399" s="75">
        <f>11819940+7000</f>
        <v>11826940</v>
      </c>
      <c r="B399" s="75"/>
      <c r="C399" s="75">
        <f>SUM(A399)</f>
        <v>11826940</v>
      </c>
      <c r="D399" s="32">
        <f>252411+99150+101924+112368+101386</f>
        <v>667239</v>
      </c>
      <c r="E399" s="95" t="s">
        <v>99</v>
      </c>
      <c r="F399" s="17" t="s">
        <v>258</v>
      </c>
      <c r="G399" s="32">
        <v>101386</v>
      </c>
      <c r="J399" s="30">
        <f>SUM(A399)</f>
        <v>11826940</v>
      </c>
      <c r="K399" s="30"/>
      <c r="L399" s="31"/>
    </row>
    <row r="400" spans="1:12" ht="18.95" customHeight="1">
      <c r="A400" s="75">
        <v>2311920</v>
      </c>
      <c r="B400" s="75"/>
      <c r="C400" s="75">
        <f t="shared" ref="C400:C409" si="7">SUM(A400)</f>
        <v>2311920</v>
      </c>
      <c r="D400" s="32">
        <f>185460+185460+185460+185460+185460</f>
        <v>927300</v>
      </c>
      <c r="E400" s="96" t="s">
        <v>100</v>
      </c>
      <c r="F400" s="17" t="s">
        <v>259</v>
      </c>
      <c r="G400" s="32">
        <v>185460</v>
      </c>
      <c r="J400" s="79"/>
      <c r="K400" s="30"/>
      <c r="L400" s="31"/>
    </row>
    <row r="401" spans="1:12" ht="18.95" customHeight="1">
      <c r="A401" s="75">
        <f>4208100+2188860+950340+1571400+1293060-50000-50000-150000-7000-100000</f>
        <v>9854760</v>
      </c>
      <c r="B401" s="75"/>
      <c r="C401" s="75">
        <f t="shared" si="7"/>
        <v>9854760</v>
      </c>
      <c r="D401" s="32">
        <f>614934+624105+619579+600820+600820</f>
        <v>3060258</v>
      </c>
      <c r="E401" s="96" t="s">
        <v>101</v>
      </c>
      <c r="F401" s="17" t="s">
        <v>260</v>
      </c>
      <c r="G401" s="32">
        <v>600820</v>
      </c>
      <c r="J401" s="79">
        <f>SUM(A400:A401)</f>
        <v>12166680</v>
      </c>
      <c r="K401" s="30"/>
      <c r="L401" s="31"/>
    </row>
    <row r="402" spans="1:12" ht="18.95" customHeight="1">
      <c r="A402" s="75">
        <f>375160+190000+100000+23000+65000+40000</f>
        <v>793160</v>
      </c>
      <c r="B402" s="75"/>
      <c r="C402" s="75">
        <f t="shared" si="7"/>
        <v>793160</v>
      </c>
      <c r="D402" s="32">
        <f>7530+15764+5430+30030+49230</f>
        <v>107984</v>
      </c>
      <c r="E402" s="96" t="s">
        <v>83</v>
      </c>
      <c r="F402" s="17" t="s">
        <v>261</v>
      </c>
      <c r="G402" s="32">
        <v>49230</v>
      </c>
      <c r="J402" s="30"/>
      <c r="K402" s="30"/>
      <c r="L402" s="31"/>
    </row>
    <row r="403" spans="1:12" ht="18.95" customHeight="1">
      <c r="A403" s="75">
        <f>855000+570000+60000+20000+39800+20000+90000+50000+265000+65000+770280+290000+80000+100000+396000+50000+50000-500000+500000+150000+100000</f>
        <v>4021080</v>
      </c>
      <c r="B403" s="75"/>
      <c r="C403" s="75">
        <f t="shared" si="7"/>
        <v>4021080</v>
      </c>
      <c r="D403" s="32">
        <f>31920+280268+334687.16+59809+86918.51</f>
        <v>793602.66999999993</v>
      </c>
      <c r="E403" s="96" t="s">
        <v>84</v>
      </c>
      <c r="F403" s="17" t="s">
        <v>262</v>
      </c>
      <c r="G403" s="32">
        <f>86918.51+2000</f>
        <v>88918.51</v>
      </c>
      <c r="J403" s="30"/>
      <c r="K403" s="30"/>
      <c r="L403" s="31"/>
    </row>
    <row r="404" spans="1:12" ht="18.95" customHeight="1">
      <c r="A404" s="75">
        <f>395000+80000+20000+15000+125500+20000+50000+869840+60000+50000</f>
        <v>1685340</v>
      </c>
      <c r="B404" s="75"/>
      <c r="C404" s="75">
        <f t="shared" si="7"/>
        <v>1685340</v>
      </c>
      <c r="D404" s="32">
        <f>8100+78208.44+21820.9+74094.42+241331.86</f>
        <v>423555.62</v>
      </c>
      <c r="E404" s="95" t="s">
        <v>85</v>
      </c>
      <c r="F404" s="17" t="s">
        <v>263</v>
      </c>
      <c r="G404" s="32">
        <f>241331.86-2000</f>
        <v>239331.86</v>
      </c>
      <c r="J404" s="79"/>
      <c r="K404" s="30"/>
      <c r="L404" s="31"/>
    </row>
    <row r="405" spans="1:12" ht="18.95" customHeight="1">
      <c r="A405" s="75">
        <f>360000+10000+8000</f>
        <v>378000</v>
      </c>
      <c r="B405" s="75"/>
      <c r="C405" s="75">
        <f t="shared" si="7"/>
        <v>378000</v>
      </c>
      <c r="D405" s="32">
        <f>13206.98+26442.49+12618.58+12248.48+21134.41</f>
        <v>85650.94</v>
      </c>
      <c r="E405" s="95" t="s">
        <v>86</v>
      </c>
      <c r="F405" s="17" t="s">
        <v>264</v>
      </c>
      <c r="G405" s="32">
        <v>21134.41</v>
      </c>
      <c r="J405" s="30">
        <f>SUM(A402:A405)</f>
        <v>6877580</v>
      </c>
      <c r="K405" s="30"/>
      <c r="L405" s="31"/>
    </row>
    <row r="406" spans="1:12" ht="18.95" customHeight="1">
      <c r="A406" s="75">
        <f>108000+15000+87900</f>
        <v>210900</v>
      </c>
      <c r="B406" s="75"/>
      <c r="C406" s="75">
        <f t="shared" si="7"/>
        <v>210900</v>
      </c>
      <c r="D406" s="32">
        <v>0</v>
      </c>
      <c r="E406" s="95" t="s">
        <v>36</v>
      </c>
      <c r="F406" s="17" t="s">
        <v>265</v>
      </c>
      <c r="G406" s="32">
        <v>0</v>
      </c>
      <c r="J406" s="30"/>
      <c r="K406" s="30"/>
      <c r="L406" s="31"/>
    </row>
    <row r="407" spans="1:12" ht="18.95" customHeight="1">
      <c r="A407" s="75">
        <f>50000+3023800</f>
        <v>3073800</v>
      </c>
      <c r="B407" s="75"/>
      <c r="C407" s="75">
        <f t="shared" si="7"/>
        <v>3073800</v>
      </c>
      <c r="D407" s="32">
        <v>0</v>
      </c>
      <c r="E407" s="95" t="s">
        <v>37</v>
      </c>
      <c r="F407" s="17" t="s">
        <v>266</v>
      </c>
      <c r="G407" s="32">
        <v>0</v>
      </c>
      <c r="J407" s="30">
        <f>SUM(A406:A407)</f>
        <v>3284700</v>
      </c>
      <c r="K407" s="30"/>
      <c r="L407" s="31"/>
    </row>
    <row r="408" spans="1:12" ht="18.95" customHeight="1" thickBot="1">
      <c r="A408" s="75">
        <f>25000</f>
        <v>25000</v>
      </c>
      <c r="B408" s="101"/>
      <c r="C408" s="75">
        <f t="shared" si="7"/>
        <v>25000</v>
      </c>
      <c r="D408" s="32">
        <v>0</v>
      </c>
      <c r="E408" s="95" t="s">
        <v>102</v>
      </c>
      <c r="F408" s="17" t="s">
        <v>267</v>
      </c>
      <c r="G408" s="32">
        <v>0</v>
      </c>
      <c r="I408" s="102">
        <f>SUM(G399:G409)</f>
        <v>1312280.78</v>
      </c>
      <c r="J408" s="30">
        <f>SUM(A408)</f>
        <v>25000</v>
      </c>
      <c r="K408" s="30"/>
      <c r="L408" s="31"/>
    </row>
    <row r="409" spans="1:12" ht="18.95" customHeight="1" thickTop="1">
      <c r="A409" s="75">
        <f>180000+1288000+351100</f>
        <v>1819100</v>
      </c>
      <c r="B409" s="101"/>
      <c r="C409" s="75">
        <f t="shared" si="7"/>
        <v>1819100</v>
      </c>
      <c r="D409" s="24">
        <f>322000+297000+26000</f>
        <v>645000</v>
      </c>
      <c r="E409" s="170" t="s">
        <v>89</v>
      </c>
      <c r="F409" s="27" t="s">
        <v>268</v>
      </c>
      <c r="G409" s="24">
        <v>26000</v>
      </c>
      <c r="J409" s="30">
        <f>SUM(A409)</f>
        <v>1819100</v>
      </c>
      <c r="K409" s="30"/>
      <c r="L409" s="31"/>
    </row>
    <row r="410" spans="1:12" s="110" customFormat="1" ht="18.95" customHeight="1" thickBot="1">
      <c r="A410" s="244">
        <f>SUM(A399:A409)</f>
        <v>36000000</v>
      </c>
      <c r="B410" s="244">
        <f>SUM(B399:B409)</f>
        <v>0</v>
      </c>
      <c r="C410" s="244">
        <f>SUM(C399:C409)</f>
        <v>36000000</v>
      </c>
      <c r="D410" s="175">
        <f>SUM(D399:D409)</f>
        <v>6710590.2300000004</v>
      </c>
      <c r="E410" s="254"/>
      <c r="F410" s="178"/>
      <c r="G410" s="244">
        <f>SUM(G399:G409)</f>
        <v>1312280.78</v>
      </c>
      <c r="I410" s="111"/>
      <c r="J410" s="36">
        <f>SUM(J399:J409)</f>
        <v>36000000</v>
      </c>
      <c r="K410" s="36"/>
      <c r="L410" s="131"/>
    </row>
    <row r="411" spans="1:12" ht="18.95" customHeight="1" thickTop="1">
      <c r="A411" s="171"/>
      <c r="B411" s="171"/>
      <c r="C411" s="171"/>
      <c r="D411" s="23">
        <f>810700+846044+833348+831016+978328</f>
        <v>4299436</v>
      </c>
      <c r="E411" s="21" t="s">
        <v>179</v>
      </c>
      <c r="F411" s="20" t="s">
        <v>256</v>
      </c>
      <c r="G411" s="172">
        <f>1500+364800+565900+46128</f>
        <v>978328</v>
      </c>
      <c r="J411" s="30"/>
      <c r="K411" s="30"/>
      <c r="L411" s="31"/>
    </row>
    <row r="412" spans="1:12" ht="18.95" customHeight="1">
      <c r="A412" s="75"/>
      <c r="B412" s="32"/>
      <c r="C412" s="75"/>
      <c r="D412" s="26">
        <f>1186831.48+650000+521617+1236675.86+2712000</f>
        <v>6307124.3399999999</v>
      </c>
      <c r="E412" s="15" t="s">
        <v>180</v>
      </c>
      <c r="F412" s="25">
        <v>21010000</v>
      </c>
      <c r="G412" s="32">
        <v>2712000</v>
      </c>
      <c r="I412" s="98"/>
      <c r="J412" s="30"/>
      <c r="K412" s="30"/>
      <c r="L412" s="31"/>
    </row>
    <row r="413" spans="1:12" ht="18.95" customHeight="1">
      <c r="A413" s="75"/>
      <c r="B413" s="126"/>
      <c r="C413" s="75"/>
      <c r="D413" s="26">
        <f>84067.88+20590.73+35465.17+231673.27</f>
        <v>371797.05</v>
      </c>
      <c r="E413" s="15" t="s">
        <v>241</v>
      </c>
      <c r="F413" s="17" t="s">
        <v>254</v>
      </c>
      <c r="G413" s="32">
        <f>12917.27+208070+10686</f>
        <v>231673.27</v>
      </c>
      <c r="J413" s="30"/>
      <c r="K413" s="30"/>
      <c r="L413" s="31"/>
    </row>
    <row r="414" spans="1:12" ht="18.95" customHeight="1">
      <c r="A414" s="75"/>
      <c r="B414" s="126"/>
      <c r="C414" s="75"/>
      <c r="D414" s="26"/>
      <c r="E414" s="15"/>
      <c r="F414" s="17"/>
      <c r="G414" s="32"/>
      <c r="J414" s="30"/>
      <c r="K414" s="30"/>
      <c r="L414" s="31"/>
    </row>
    <row r="415" spans="1:12" ht="18.95" customHeight="1">
      <c r="A415" s="75"/>
      <c r="B415" s="24"/>
      <c r="C415" s="75"/>
      <c r="D415" s="26"/>
      <c r="E415" s="15"/>
      <c r="F415" s="25"/>
      <c r="G415" s="32"/>
      <c r="I415" s="98"/>
      <c r="J415" s="30"/>
      <c r="K415" s="30"/>
      <c r="L415" s="31"/>
    </row>
    <row r="416" spans="1:12" ht="18.95" customHeight="1">
      <c r="A416" s="75"/>
      <c r="B416" s="32"/>
      <c r="C416" s="75"/>
      <c r="D416" s="26"/>
      <c r="E416" s="15"/>
      <c r="F416" s="25"/>
      <c r="G416" s="32"/>
      <c r="I416" s="98"/>
      <c r="J416" s="30"/>
      <c r="K416" s="30"/>
      <c r="L416" s="31"/>
    </row>
    <row r="417" spans="1:12" ht="18.95" customHeight="1">
      <c r="A417" s="14"/>
      <c r="B417" s="127"/>
      <c r="C417" s="127"/>
      <c r="D417" s="26">
        <v>0</v>
      </c>
      <c r="E417" s="128"/>
      <c r="F417" s="17"/>
      <c r="G417" s="32">
        <v>0</v>
      </c>
    </row>
    <row r="418" spans="1:12" ht="18.95" customHeight="1">
      <c r="A418" s="14"/>
      <c r="B418" s="127"/>
      <c r="C418" s="127"/>
      <c r="D418" s="26">
        <v>0</v>
      </c>
      <c r="E418" s="128"/>
      <c r="F418" s="17"/>
      <c r="G418" s="32">
        <v>0</v>
      </c>
    </row>
    <row r="419" spans="1:12" ht="18.95" customHeight="1">
      <c r="A419" s="14"/>
      <c r="B419" s="127"/>
      <c r="C419" s="127"/>
      <c r="D419" s="26">
        <v>0</v>
      </c>
      <c r="E419" s="128"/>
      <c r="F419" s="17"/>
      <c r="G419" s="32">
        <v>0</v>
      </c>
    </row>
    <row r="420" spans="1:12" ht="18.95" customHeight="1">
      <c r="A420" s="14"/>
      <c r="B420" s="127"/>
      <c r="C420" s="127"/>
      <c r="D420" s="26">
        <v>0</v>
      </c>
      <c r="E420" s="105"/>
      <c r="F420" s="17"/>
      <c r="G420" s="32">
        <v>0</v>
      </c>
    </row>
    <row r="421" spans="1:12" ht="18.95" customHeight="1">
      <c r="A421" s="123"/>
      <c r="B421" s="22"/>
      <c r="C421" s="22"/>
      <c r="D421" s="26">
        <v>0</v>
      </c>
      <c r="E421" s="133"/>
      <c r="F421" s="20"/>
      <c r="G421" s="19">
        <v>0</v>
      </c>
    </row>
    <row r="422" spans="1:12" ht="27" customHeight="1" thickBot="1">
      <c r="A422" s="179"/>
      <c r="B422" s="179"/>
      <c r="C422" s="179"/>
      <c r="D422" s="175">
        <f>SUM(D410:D421)</f>
        <v>17688947.620000001</v>
      </c>
      <c r="E422" s="180" t="s">
        <v>32</v>
      </c>
      <c r="F422" s="181"/>
      <c r="G422" s="182">
        <f>SUM(G410+G411+G412+G413+G414+G415+G416+G417)</f>
        <v>5234282.05</v>
      </c>
      <c r="J422" s="30"/>
      <c r="K422" s="30"/>
      <c r="L422" s="31"/>
    </row>
    <row r="423" spans="1:12" ht="22.5" customHeight="1" thickTop="1">
      <c r="A423" s="87"/>
      <c r="B423" s="87"/>
      <c r="C423" s="87"/>
      <c r="D423" s="99">
        <f>SUM(D382-D422)</f>
        <v>4283447.16</v>
      </c>
      <c r="E423" s="107" t="s">
        <v>38</v>
      </c>
      <c r="F423" s="108"/>
      <c r="G423" s="100"/>
    </row>
    <row r="424" spans="1:12" ht="20.25" customHeight="1">
      <c r="A424" s="87"/>
      <c r="B424" s="87"/>
      <c r="C424" s="22"/>
      <c r="D424" s="26"/>
      <c r="E424" s="70" t="s">
        <v>187</v>
      </c>
      <c r="F424" s="108"/>
      <c r="G424" s="32"/>
    </row>
    <row r="425" spans="1:12" ht="21" customHeight="1">
      <c r="A425" s="42"/>
      <c r="B425" s="42"/>
      <c r="C425" s="97"/>
      <c r="D425" s="100"/>
      <c r="E425" s="107" t="s">
        <v>103</v>
      </c>
      <c r="F425" s="108"/>
      <c r="G425" s="100">
        <f>SUM(G382-G422)</f>
        <v>-241802.29999999981</v>
      </c>
    </row>
    <row r="426" spans="1:12" ht="21" customHeight="1" thickBot="1">
      <c r="A426" s="87"/>
      <c r="B426" s="87"/>
      <c r="C426" s="22"/>
      <c r="D426" s="34">
        <f>SUM(D358+D423)</f>
        <v>25246444.629999999</v>
      </c>
      <c r="E426" s="107" t="s">
        <v>104</v>
      </c>
      <c r="F426" s="108"/>
      <c r="G426" s="34">
        <f>SUM(G358+G425)</f>
        <v>25246444.629999999</v>
      </c>
      <c r="I426" s="187">
        <v>25245342.629999999</v>
      </c>
      <c r="J426" s="3">
        <f>SUM(G426-I426)</f>
        <v>1102</v>
      </c>
      <c r="K426" s="3">
        <f>SUM(I426-I429)</f>
        <v>-10800</v>
      </c>
    </row>
    <row r="427" spans="1:12" ht="5.25" customHeight="1" thickTop="1">
      <c r="A427" s="87"/>
      <c r="B427" s="87"/>
      <c r="C427" s="87"/>
      <c r="D427" s="74"/>
      <c r="E427" s="278"/>
      <c r="F427" s="88"/>
      <c r="G427" s="78"/>
    </row>
    <row r="428" spans="1:12" ht="18.95" customHeight="1">
      <c r="A428" s="87" t="s">
        <v>19</v>
      </c>
      <c r="B428" s="87"/>
      <c r="C428" s="87"/>
      <c r="D428" s="74"/>
      <c r="E428" s="278"/>
      <c r="F428" s="88"/>
      <c r="G428" s="78"/>
    </row>
    <row r="429" spans="1:12" ht="20.25" customHeight="1">
      <c r="A429" s="87" t="s">
        <v>307</v>
      </c>
      <c r="B429" s="87"/>
      <c r="C429" s="87"/>
      <c r="D429" s="74"/>
      <c r="E429" s="278"/>
      <c r="F429" s="88"/>
      <c r="G429" s="78"/>
      <c r="I429" s="3">
        <v>25256142.629999999</v>
      </c>
    </row>
    <row r="430" spans="1:12" ht="20.25" customHeight="1">
      <c r="A430" s="87"/>
      <c r="B430" s="87"/>
      <c r="C430" s="87"/>
      <c r="D430" s="74"/>
      <c r="E430" s="278"/>
      <c r="F430" s="88"/>
      <c r="G430" s="78"/>
      <c r="I430" s="3">
        <v>1102</v>
      </c>
      <c r="J430" s="3">
        <f>SUM(I429-G426)</f>
        <v>9698</v>
      </c>
    </row>
    <row r="431" spans="1:12" ht="21" customHeight="1">
      <c r="A431" s="87" t="s">
        <v>79</v>
      </c>
      <c r="B431" s="87"/>
      <c r="C431" s="87"/>
      <c r="D431" s="30"/>
      <c r="E431" s="77"/>
      <c r="F431" s="88"/>
      <c r="G431" s="42"/>
    </row>
    <row r="432" spans="1:12" ht="21" customHeight="1">
      <c r="A432" s="87"/>
      <c r="B432" s="87"/>
      <c r="C432" s="87"/>
      <c r="D432" s="30"/>
      <c r="E432" s="77"/>
      <c r="F432" s="88"/>
      <c r="G432" s="42"/>
    </row>
    <row r="433" spans="1:11" ht="23.25" customHeight="1">
      <c r="A433" s="87" t="s">
        <v>190</v>
      </c>
      <c r="B433" s="87"/>
      <c r="C433" s="87"/>
      <c r="D433" s="74"/>
      <c r="E433" s="278"/>
      <c r="F433" s="88"/>
      <c r="G433" s="78"/>
    </row>
    <row r="434" spans="1:11" ht="18.95" customHeight="1">
      <c r="A434" s="87" t="s">
        <v>186</v>
      </c>
      <c r="B434" s="87"/>
      <c r="C434" s="87"/>
      <c r="D434" s="74"/>
      <c r="E434" s="278"/>
      <c r="F434" s="88"/>
      <c r="G434" s="78"/>
    </row>
    <row r="437" spans="1:11" ht="18.95" customHeight="1">
      <c r="A437" s="303" t="s">
        <v>20</v>
      </c>
      <c r="B437" s="303"/>
      <c r="C437" s="303"/>
      <c r="D437" s="303"/>
      <c r="E437" s="303"/>
      <c r="F437" s="303"/>
      <c r="G437" s="303"/>
    </row>
    <row r="438" spans="1:11" ht="18.95" customHeight="1">
      <c r="A438" s="303" t="s">
        <v>92</v>
      </c>
      <c r="B438" s="303"/>
      <c r="C438" s="303"/>
      <c r="D438" s="303"/>
      <c r="E438" s="303"/>
      <c r="F438" s="303"/>
      <c r="G438" s="303"/>
    </row>
    <row r="439" spans="1:11" ht="18.95" customHeight="1">
      <c r="A439" s="303" t="s">
        <v>321</v>
      </c>
      <c r="B439" s="303"/>
      <c r="C439" s="303"/>
      <c r="D439" s="303"/>
      <c r="E439" s="303"/>
      <c r="F439" s="303"/>
      <c r="G439" s="303"/>
    </row>
    <row r="440" spans="1:11" ht="18.95" customHeight="1" thickBot="1">
      <c r="A440" s="304"/>
      <c r="B440" s="304"/>
      <c r="C440" s="304"/>
      <c r="D440" s="304"/>
      <c r="E440" s="304"/>
      <c r="F440" s="304"/>
      <c r="G440" s="304"/>
    </row>
    <row r="441" spans="1:11" ht="18.95" customHeight="1" thickTop="1" thickBot="1">
      <c r="A441" s="300" t="s">
        <v>6</v>
      </c>
      <c r="B441" s="301"/>
      <c r="C441" s="301"/>
      <c r="D441" s="302"/>
      <c r="E441" s="4"/>
      <c r="F441" s="5" t="s">
        <v>16</v>
      </c>
      <c r="G441" s="125" t="s">
        <v>26</v>
      </c>
    </row>
    <row r="442" spans="1:11" ht="18.95" customHeight="1" thickTop="1">
      <c r="A442" s="118" t="s">
        <v>1</v>
      </c>
      <c r="B442" s="114" t="s">
        <v>93</v>
      </c>
      <c r="C442" s="114" t="s">
        <v>97</v>
      </c>
      <c r="D442" s="6" t="s">
        <v>7</v>
      </c>
      <c r="E442" s="4" t="s">
        <v>8</v>
      </c>
      <c r="F442" s="8" t="s">
        <v>17</v>
      </c>
      <c r="G442" s="115" t="s">
        <v>18</v>
      </c>
    </row>
    <row r="443" spans="1:11" ht="18.95" customHeight="1">
      <c r="A443" s="119" t="s">
        <v>96</v>
      </c>
      <c r="B443" s="9" t="s">
        <v>94</v>
      </c>
      <c r="C443" s="9" t="s">
        <v>96</v>
      </c>
      <c r="D443" s="116" t="s">
        <v>96</v>
      </c>
      <c r="E443" s="7"/>
      <c r="F443" s="8"/>
      <c r="G443" s="115" t="s">
        <v>98</v>
      </c>
    </row>
    <row r="444" spans="1:11" ht="18.95" customHeight="1" thickBot="1">
      <c r="A444" s="117"/>
      <c r="B444" s="13" t="s">
        <v>95</v>
      </c>
      <c r="C444" s="10"/>
      <c r="D444" s="284"/>
      <c r="E444" s="11"/>
      <c r="F444" s="12"/>
      <c r="G444" s="13" t="s">
        <v>96</v>
      </c>
    </row>
    <row r="445" spans="1:11" s="150" customFormat="1" ht="18.95" customHeight="1" thickTop="1" thickBot="1">
      <c r="A445" s="149"/>
      <c r="B445" s="149"/>
      <c r="C445" s="149"/>
      <c r="D445" s="154">
        <f>20962997.47</f>
        <v>20962997.469999999</v>
      </c>
      <c r="E445" s="152" t="s">
        <v>3</v>
      </c>
      <c r="F445" s="153"/>
      <c r="G445" s="34">
        <f>SUM(G426)</f>
        <v>25246444.629999999</v>
      </c>
      <c r="I445" s="151"/>
      <c r="J445" s="151"/>
      <c r="K445" s="151"/>
    </row>
    <row r="446" spans="1:11" ht="18.95" customHeight="1" thickTop="1">
      <c r="A446" s="14"/>
      <c r="B446" s="14"/>
      <c r="C446" s="14"/>
      <c r="D446" s="15"/>
      <c r="E446" s="16" t="s">
        <v>68</v>
      </c>
      <c r="F446" s="17"/>
      <c r="G446" s="14"/>
    </row>
    <row r="447" spans="1:11" s="110" customFormat="1" ht="18.95" customHeight="1">
      <c r="A447" s="255">
        <f>C447</f>
        <v>186000</v>
      </c>
      <c r="B447" s="32"/>
      <c r="C447" s="255">
        <v>186000</v>
      </c>
      <c r="D447" s="32">
        <f>497.26+4449.04+41526.04+59188.86</f>
        <v>105661.20000000001</v>
      </c>
      <c r="E447" s="15" t="s">
        <v>9</v>
      </c>
      <c r="F447" s="121" t="s">
        <v>246</v>
      </c>
      <c r="G447" s="32">
        <f>24384.88+32163.98+2640</f>
        <v>59188.86</v>
      </c>
      <c r="I447" s="111"/>
      <c r="J447" s="111"/>
      <c r="K447" s="111"/>
    </row>
    <row r="448" spans="1:11" s="110" customFormat="1" ht="18.95" customHeight="1">
      <c r="A448" s="255">
        <f>C448</f>
        <v>113500</v>
      </c>
      <c r="B448" s="32"/>
      <c r="C448" s="255">
        <v>113500</v>
      </c>
      <c r="D448" s="32">
        <f>55+20+200+50+11562+3290+1976+15891+18427</f>
        <v>51471</v>
      </c>
      <c r="E448" s="15" t="s">
        <v>10</v>
      </c>
      <c r="F448" s="121" t="s">
        <v>247</v>
      </c>
      <c r="G448" s="32">
        <f>334+100+3800+125+600+13468</f>
        <v>18427</v>
      </c>
      <c r="I448" s="111"/>
      <c r="J448" s="111"/>
      <c r="K448" s="111"/>
    </row>
    <row r="449" spans="1:11" s="110" customFormat="1" ht="18.95" customHeight="1">
      <c r="A449" s="255">
        <f>C449</f>
        <v>100000</v>
      </c>
      <c r="B449" s="32"/>
      <c r="C449" s="255">
        <v>100000</v>
      </c>
      <c r="D449" s="32">
        <f>53111.51+9626.17+5247.63</f>
        <v>67985.31</v>
      </c>
      <c r="E449" s="15" t="s">
        <v>11</v>
      </c>
      <c r="F449" s="121" t="s">
        <v>248</v>
      </c>
      <c r="G449" s="32">
        <v>5247.63</v>
      </c>
      <c r="I449" s="111"/>
      <c r="J449" s="111"/>
      <c r="K449" s="111"/>
    </row>
    <row r="450" spans="1:11" s="110" customFormat="1" ht="18.95" customHeight="1">
      <c r="A450" s="255">
        <v>0</v>
      </c>
      <c r="B450" s="32"/>
      <c r="C450" s="255">
        <f>SUM(A450:B450)</f>
        <v>0</v>
      </c>
      <c r="D450" s="32">
        <v>0</v>
      </c>
      <c r="E450" s="15" t="s">
        <v>12</v>
      </c>
      <c r="F450" s="121" t="s">
        <v>249</v>
      </c>
      <c r="G450" s="32">
        <v>0</v>
      </c>
      <c r="I450" s="111"/>
      <c r="J450" s="111"/>
      <c r="K450" s="111"/>
    </row>
    <row r="451" spans="1:11" s="110" customFormat="1" ht="18.95" customHeight="1">
      <c r="A451" s="255">
        <f>C451</f>
        <v>10500</v>
      </c>
      <c r="B451" s="32"/>
      <c r="C451" s="255">
        <v>10500</v>
      </c>
      <c r="D451" s="32">
        <f>2000+296+28+15000</f>
        <v>17324</v>
      </c>
      <c r="E451" s="15" t="s">
        <v>13</v>
      </c>
      <c r="F451" s="121" t="s">
        <v>250</v>
      </c>
      <c r="G451" s="32">
        <v>15000</v>
      </c>
      <c r="I451" s="111"/>
      <c r="J451" s="111"/>
      <c r="K451" s="111"/>
    </row>
    <row r="452" spans="1:11" s="110" customFormat="1" ht="18.95" customHeight="1">
      <c r="A452" s="255">
        <v>0</v>
      </c>
      <c r="B452" s="32"/>
      <c r="C452" s="255">
        <f>SUM(A452:B452)</f>
        <v>0</v>
      </c>
      <c r="D452" s="32">
        <v>0</v>
      </c>
      <c r="E452" s="15" t="s">
        <v>14</v>
      </c>
      <c r="F452" s="121" t="s">
        <v>251</v>
      </c>
      <c r="G452" s="32">
        <v>0</v>
      </c>
      <c r="I452" s="111"/>
      <c r="J452" s="111"/>
      <c r="K452" s="111"/>
    </row>
    <row r="453" spans="1:11" s="110" customFormat="1" ht="18.95" customHeight="1">
      <c r="A453" s="255">
        <f>C453</f>
        <v>15590000</v>
      </c>
      <c r="B453" s="32"/>
      <c r="C453" s="255">
        <v>15590000</v>
      </c>
      <c r="D453" s="32">
        <f>807681.19+136065.98+375552.6+11585.92+44513+1553344.35+1529741.63+1204336.32+1597499.99+1507980.71</f>
        <v>8768301.6900000013</v>
      </c>
      <c r="E453" s="15" t="s">
        <v>15</v>
      </c>
      <c r="F453" s="121" t="s">
        <v>252</v>
      </c>
      <c r="G453" s="32">
        <f>48058.45+765984.95+218450.15+27032.14+393534.17+16090.85+38830</f>
        <v>1507980.71</v>
      </c>
      <c r="I453" s="111"/>
      <c r="J453" s="111"/>
      <c r="K453" s="111"/>
    </row>
    <row r="454" spans="1:11" s="110" customFormat="1" ht="18.95" customHeight="1">
      <c r="A454" s="255">
        <v>20000000</v>
      </c>
      <c r="B454" s="32"/>
      <c r="C454" s="255">
        <f>SUM(A454:B454)</f>
        <v>20000000</v>
      </c>
      <c r="D454" s="32">
        <f>5566536+4689911+689000</f>
        <v>10945447</v>
      </c>
      <c r="E454" s="15" t="s">
        <v>52</v>
      </c>
      <c r="F454" s="121" t="s">
        <v>253</v>
      </c>
      <c r="G454" s="32">
        <v>0</v>
      </c>
      <c r="I454" s="111"/>
      <c r="J454" s="147">
        <f>SUM(G447:G454)</f>
        <v>1605844.2</v>
      </c>
      <c r="K454" s="147" t="s">
        <v>159</v>
      </c>
    </row>
    <row r="455" spans="1:11" s="110" customFormat="1" ht="18.95" customHeight="1">
      <c r="A455" s="256"/>
      <c r="B455" s="275"/>
      <c r="C455" s="275"/>
      <c r="D455" s="275"/>
      <c r="E455" s="15"/>
      <c r="F455" s="162"/>
      <c r="G455" s="24"/>
      <c r="I455" s="111"/>
      <c r="J455" s="111"/>
      <c r="K455" s="111"/>
    </row>
    <row r="456" spans="1:11" s="156" customFormat="1" ht="18.95" customHeight="1" thickBot="1">
      <c r="A456" s="182">
        <f>SUM(A447:A455)</f>
        <v>36000000</v>
      </c>
      <c r="B456" s="182">
        <f>SUM(B447:B455)</f>
        <v>0</v>
      </c>
      <c r="C456" s="182">
        <f>SUM(C447:C455)</f>
        <v>36000000</v>
      </c>
      <c r="D456" s="175">
        <f>SUM(D447:D455)</f>
        <v>19956190.200000003</v>
      </c>
      <c r="E456" s="258"/>
      <c r="F456" s="164"/>
      <c r="G456" s="175">
        <f>SUM(G447:G455)</f>
        <v>1605844.2</v>
      </c>
      <c r="I456" s="147"/>
      <c r="J456" s="147"/>
      <c r="K456" s="147"/>
    </row>
    <row r="457" spans="1:11" s="110" customFormat="1" ht="21.75" customHeight="1" thickTop="1">
      <c r="A457" s="259"/>
      <c r="B457" s="23"/>
      <c r="C457" s="260"/>
      <c r="D457" s="23">
        <f>40510.97+38103.17+23622.23+103996.55+45863.32</f>
        <v>252096.24</v>
      </c>
      <c r="E457" s="15" t="s">
        <v>162</v>
      </c>
      <c r="F457" s="17" t="s">
        <v>254</v>
      </c>
      <c r="G457" s="24">
        <f>3216.6+10686+3290+1000+2062.14+23435+1913.58+260</f>
        <v>45863.32</v>
      </c>
      <c r="I457" s="111"/>
      <c r="J457" s="111"/>
      <c r="K457" s="111"/>
    </row>
    <row r="458" spans="1:11" s="110" customFormat="1" ht="18.95" customHeight="1">
      <c r="A458" s="14"/>
      <c r="B458" s="14"/>
      <c r="C458" s="14"/>
      <c r="D458" s="24">
        <f>873675.86+2534000</f>
        <v>3407675.86</v>
      </c>
      <c r="E458" s="15" t="s">
        <v>137</v>
      </c>
      <c r="F458" s="17" t="s">
        <v>255</v>
      </c>
      <c r="G458" s="24">
        <v>0</v>
      </c>
      <c r="I458" s="111"/>
      <c r="J458" s="111"/>
      <c r="K458" s="111"/>
    </row>
    <row r="459" spans="1:11" s="110" customFormat="1" ht="18.95" customHeight="1">
      <c r="A459" s="32"/>
      <c r="B459" s="32"/>
      <c r="C459" s="32"/>
      <c r="D459" s="26">
        <f>600+800</f>
        <v>1400</v>
      </c>
      <c r="E459" s="173" t="s">
        <v>189</v>
      </c>
      <c r="F459" s="17" t="s">
        <v>256</v>
      </c>
      <c r="G459" s="24">
        <v>0</v>
      </c>
      <c r="I459" s="111"/>
      <c r="J459" s="111"/>
      <c r="K459" s="111"/>
    </row>
    <row r="460" spans="1:11" s="110" customFormat="1" ht="18.95" customHeight="1">
      <c r="A460" s="14"/>
      <c r="B460" s="14"/>
      <c r="C460" s="14"/>
      <c r="D460" s="26">
        <f>4000+940</f>
        <v>4940</v>
      </c>
      <c r="E460" s="15" t="s">
        <v>291</v>
      </c>
      <c r="F460" s="17" t="s">
        <v>256</v>
      </c>
      <c r="G460" s="32">
        <v>0</v>
      </c>
      <c r="I460" s="111"/>
      <c r="J460" s="111"/>
      <c r="K460" s="111"/>
    </row>
    <row r="461" spans="1:11" s="110" customFormat="1" ht="18.95" customHeight="1">
      <c r="A461" s="14"/>
      <c r="B461" s="14"/>
      <c r="C461" s="14"/>
      <c r="D461" s="37">
        <f>1200+600</f>
        <v>1800</v>
      </c>
      <c r="E461" s="15" t="s">
        <v>99</v>
      </c>
      <c r="F461" s="17" t="s">
        <v>258</v>
      </c>
      <c r="G461" s="24">
        <v>0</v>
      </c>
      <c r="I461" s="111"/>
      <c r="J461" s="111"/>
      <c r="K461" s="111"/>
    </row>
    <row r="462" spans="1:11" s="110" customFormat="1" ht="18.95" customHeight="1">
      <c r="A462" s="14"/>
      <c r="B462" s="14"/>
      <c r="C462" s="14"/>
      <c r="D462" s="23"/>
      <c r="E462" s="15"/>
      <c r="F462" s="17"/>
      <c r="G462" s="32"/>
      <c r="I462" s="111"/>
      <c r="J462" s="111"/>
      <c r="K462" s="111"/>
    </row>
    <row r="463" spans="1:11" s="110" customFormat="1" ht="18.95" customHeight="1">
      <c r="A463" s="14"/>
      <c r="B463" s="14"/>
      <c r="C463" s="14"/>
      <c r="D463" s="23"/>
      <c r="E463" s="15"/>
      <c r="F463" s="17"/>
      <c r="G463" s="32"/>
      <c r="I463" s="111"/>
      <c r="J463" s="111"/>
      <c r="K463" s="111"/>
    </row>
    <row r="464" spans="1:11" s="110" customFormat="1" ht="18.95" customHeight="1">
      <c r="A464" s="14"/>
      <c r="B464" s="14"/>
      <c r="C464" s="14"/>
      <c r="D464" s="23"/>
      <c r="E464" s="15"/>
      <c r="F464" s="17"/>
      <c r="G464" s="32"/>
      <c r="I464" s="111"/>
      <c r="J464" s="111"/>
      <c r="K464" s="111"/>
    </row>
    <row r="465" spans="1:12" s="110" customFormat="1" ht="18.95" customHeight="1">
      <c r="A465" s="14"/>
      <c r="B465" s="14"/>
      <c r="C465" s="14"/>
      <c r="D465" s="23"/>
      <c r="E465" s="15"/>
      <c r="F465" s="17"/>
      <c r="G465" s="32"/>
      <c r="I465" s="111"/>
      <c r="J465" s="111"/>
      <c r="K465" s="111"/>
    </row>
    <row r="466" spans="1:12" ht="18.95" customHeight="1">
      <c r="A466" s="14"/>
      <c r="B466" s="14"/>
      <c r="C466" s="14"/>
      <c r="D466" s="23"/>
      <c r="E466" s="15"/>
      <c r="F466" s="17"/>
      <c r="G466" s="32"/>
    </row>
    <row r="467" spans="1:12" ht="18.95" customHeight="1">
      <c r="A467" s="14"/>
      <c r="B467" s="14"/>
      <c r="C467" s="14"/>
      <c r="D467" s="91"/>
      <c r="E467" s="15"/>
      <c r="F467" s="17"/>
      <c r="G467" s="32"/>
    </row>
    <row r="468" spans="1:12" ht="18.95" customHeight="1">
      <c r="A468" s="73"/>
      <c r="B468" s="22"/>
      <c r="C468" s="22"/>
      <c r="D468" s="35"/>
      <c r="E468" s="28"/>
      <c r="F468" s="20"/>
      <c r="G468" s="19"/>
    </row>
    <row r="469" spans="1:12" s="110" customFormat="1" ht="18.95" customHeight="1">
      <c r="A469" s="179"/>
      <c r="B469" s="179"/>
      <c r="C469" s="179"/>
      <c r="D469" s="66">
        <f>SUM(D456:D468)</f>
        <v>23624102.300000001</v>
      </c>
      <c r="E469" s="72" t="s">
        <v>4</v>
      </c>
      <c r="F469" s="261"/>
      <c r="G469" s="262">
        <f>SUM(G456:G468)</f>
        <v>1651707.52</v>
      </c>
      <c r="I469" s="111"/>
      <c r="J469" s="111"/>
      <c r="K469" s="111"/>
    </row>
    <row r="470" spans="1:12" ht="18.95" customHeight="1">
      <c r="A470" s="87"/>
      <c r="B470" s="87"/>
      <c r="C470" s="87"/>
      <c r="D470" s="106"/>
      <c r="E470" s="285"/>
      <c r="F470" s="88"/>
      <c r="G470" s="78"/>
      <c r="J470" s="30"/>
      <c r="K470" s="30"/>
      <c r="L470" s="31"/>
    </row>
    <row r="471" spans="1:12" ht="18.95" customHeight="1">
      <c r="A471" s="87"/>
      <c r="B471" s="87"/>
      <c r="C471" s="87"/>
      <c r="D471" s="106"/>
      <c r="E471" s="285"/>
      <c r="F471" s="88"/>
      <c r="G471" s="78"/>
      <c r="J471" s="30"/>
      <c r="K471" s="30"/>
      <c r="L471" s="31"/>
    </row>
    <row r="472" spans="1:12" ht="18.95" customHeight="1">
      <c r="A472" s="87"/>
      <c r="B472" s="87"/>
      <c r="C472" s="87"/>
      <c r="D472" s="106"/>
      <c r="E472" s="285"/>
      <c r="F472" s="88"/>
      <c r="G472" s="78"/>
      <c r="J472" s="30"/>
      <c r="K472" s="30"/>
      <c r="L472" s="31"/>
    </row>
    <row r="473" spans="1:12" ht="18.95" customHeight="1">
      <c r="A473" s="87"/>
      <c r="B473" s="87"/>
      <c r="C473" s="87"/>
      <c r="D473" s="106"/>
      <c r="E473" s="285"/>
      <c r="F473" s="88"/>
      <c r="G473" s="78"/>
      <c r="J473" s="30"/>
      <c r="K473" s="30"/>
      <c r="L473" s="31"/>
    </row>
    <row r="474" spans="1:12" ht="18.95" customHeight="1">
      <c r="A474" s="87"/>
      <c r="B474" s="87"/>
      <c r="C474" s="87"/>
      <c r="D474" s="106"/>
      <c r="E474" s="285"/>
      <c r="F474" s="88"/>
      <c r="G474" s="78"/>
      <c r="J474" s="30"/>
      <c r="K474" s="30"/>
      <c r="L474" s="31"/>
    </row>
    <row r="475" spans="1:12" ht="18.95" customHeight="1">
      <c r="A475" s="87"/>
      <c r="B475" s="87"/>
      <c r="C475" s="87"/>
      <c r="D475" s="106"/>
      <c r="E475" s="285"/>
      <c r="F475" s="88"/>
      <c r="G475" s="78"/>
      <c r="J475" s="30"/>
      <c r="K475" s="30"/>
      <c r="L475" s="31"/>
    </row>
    <row r="476" spans="1:12" ht="18.95" customHeight="1">
      <c r="A476" s="87"/>
      <c r="B476" s="87"/>
      <c r="C476" s="87"/>
      <c r="D476" s="106"/>
      <c r="E476" s="285"/>
      <c r="F476" s="88"/>
      <c r="G476" s="78"/>
      <c r="J476" s="30"/>
      <c r="K476" s="30"/>
      <c r="L476" s="31"/>
    </row>
    <row r="477" spans="1:12" ht="18.95" customHeight="1">
      <c r="A477" s="87"/>
      <c r="B477" s="87"/>
      <c r="C477" s="87"/>
      <c r="D477" s="106"/>
      <c r="E477" s="285"/>
      <c r="F477" s="88"/>
      <c r="G477" s="78"/>
      <c r="J477" s="30"/>
      <c r="K477" s="30"/>
      <c r="L477" s="31"/>
    </row>
    <row r="478" spans="1:12" ht="18.95" customHeight="1">
      <c r="A478" s="87"/>
      <c r="B478" s="87"/>
      <c r="C478" s="87"/>
      <c r="D478" s="106"/>
      <c r="E478" s="285"/>
      <c r="F478" s="88"/>
      <c r="G478" s="78"/>
      <c r="J478" s="30"/>
      <c r="K478" s="30"/>
      <c r="L478" s="31"/>
    </row>
    <row r="479" spans="1:12" ht="18.95" customHeight="1">
      <c r="A479" s="87"/>
      <c r="B479" s="87"/>
      <c r="C479" s="87"/>
      <c r="D479" s="106"/>
      <c r="E479" s="285"/>
      <c r="F479" s="88"/>
      <c r="G479" s="78"/>
      <c r="J479" s="30"/>
      <c r="K479" s="30"/>
      <c r="L479" s="31"/>
    </row>
    <row r="480" spans="1:12" ht="18.95" customHeight="1" thickBot="1">
      <c r="A480" s="87"/>
      <c r="B480" s="87"/>
      <c r="C480" s="87"/>
      <c r="D480" s="106"/>
      <c r="E480" s="285"/>
      <c r="F480" s="88"/>
      <c r="G480" s="78"/>
      <c r="J480" s="30"/>
      <c r="K480" s="30"/>
      <c r="L480" s="31"/>
    </row>
    <row r="481" spans="1:12" ht="18.95" customHeight="1" thickTop="1" thickBot="1">
      <c r="A481" s="300" t="s">
        <v>6</v>
      </c>
      <c r="B481" s="301"/>
      <c r="C481" s="301"/>
      <c r="D481" s="302"/>
      <c r="E481" s="4"/>
      <c r="F481" s="5" t="s">
        <v>16</v>
      </c>
      <c r="G481" s="125" t="s">
        <v>26</v>
      </c>
    </row>
    <row r="482" spans="1:12" ht="18.95" customHeight="1" thickTop="1">
      <c r="A482" s="118" t="s">
        <v>1</v>
      </c>
      <c r="B482" s="114" t="s">
        <v>93</v>
      </c>
      <c r="C482" s="114" t="s">
        <v>97</v>
      </c>
      <c r="D482" s="6" t="s">
        <v>7</v>
      </c>
      <c r="E482" s="4" t="s">
        <v>8</v>
      </c>
      <c r="F482" s="8" t="s">
        <v>17</v>
      </c>
      <c r="G482" s="115" t="s">
        <v>18</v>
      </c>
    </row>
    <row r="483" spans="1:12" ht="18.95" customHeight="1">
      <c r="A483" s="119" t="s">
        <v>96</v>
      </c>
      <c r="B483" s="9" t="s">
        <v>94</v>
      </c>
      <c r="C483" s="9" t="s">
        <v>96</v>
      </c>
      <c r="D483" s="116" t="s">
        <v>96</v>
      </c>
      <c r="E483" s="7"/>
      <c r="F483" s="8"/>
      <c r="G483" s="115" t="s">
        <v>98</v>
      </c>
    </row>
    <row r="484" spans="1:12" ht="18.95" customHeight="1" thickBot="1">
      <c r="A484" s="117"/>
      <c r="B484" s="13" t="s">
        <v>95</v>
      </c>
      <c r="C484" s="10"/>
      <c r="D484" s="284"/>
      <c r="E484" s="11"/>
      <c r="F484" s="12"/>
      <c r="G484" s="13" t="s">
        <v>96</v>
      </c>
    </row>
    <row r="485" spans="1:12" ht="18.95" customHeight="1" thickTop="1">
      <c r="A485" s="89"/>
      <c r="B485" s="89"/>
      <c r="C485" s="89"/>
      <c r="D485" s="92"/>
      <c r="E485" s="93" t="s">
        <v>31</v>
      </c>
      <c r="F485" s="94"/>
      <c r="G485" s="89"/>
      <c r="J485" s="75"/>
      <c r="K485" s="30"/>
      <c r="L485" s="31"/>
    </row>
    <row r="486" spans="1:12" ht="18.95" customHeight="1">
      <c r="A486" s="75">
        <f>11819940+7000</f>
        <v>11826940</v>
      </c>
      <c r="B486" s="75"/>
      <c r="C486" s="75">
        <f>SUM(A486)</f>
        <v>11826940</v>
      </c>
      <c r="D486" s="32">
        <f>252411+99150+101924+112368+101386+109186</f>
        <v>776425</v>
      </c>
      <c r="E486" s="95" t="s">
        <v>99</v>
      </c>
      <c r="F486" s="17" t="s">
        <v>258</v>
      </c>
      <c r="G486" s="32">
        <v>109186</v>
      </c>
      <c r="J486" s="30">
        <f>SUM(A486)</f>
        <v>11826940</v>
      </c>
      <c r="K486" s="30"/>
      <c r="L486" s="31"/>
    </row>
    <row r="487" spans="1:12" ht="18.95" customHeight="1">
      <c r="A487" s="75">
        <v>2311920</v>
      </c>
      <c r="B487" s="75"/>
      <c r="C487" s="75">
        <f t="shared" ref="C487:C496" si="8">SUM(A487)</f>
        <v>2311920</v>
      </c>
      <c r="D487" s="32">
        <f>185460+185460+185460+185460+185460+185460</f>
        <v>1112760</v>
      </c>
      <c r="E487" s="96" t="s">
        <v>100</v>
      </c>
      <c r="F487" s="17" t="s">
        <v>259</v>
      </c>
      <c r="G487" s="32">
        <v>185460</v>
      </c>
      <c r="J487" s="79"/>
      <c r="K487" s="30"/>
      <c r="L487" s="31"/>
    </row>
    <row r="488" spans="1:12" ht="18.95" customHeight="1">
      <c r="A488" s="75">
        <f>4208100+2188860+950340+1571400+1293060-50000-50000-150000-7000-100000-50000</f>
        <v>9804760</v>
      </c>
      <c r="B488" s="75"/>
      <c r="C488" s="75">
        <f t="shared" si="8"/>
        <v>9804760</v>
      </c>
      <c r="D488" s="32">
        <f>614934+624105+619579+600820+600820+600820</f>
        <v>3661078</v>
      </c>
      <c r="E488" s="96" t="s">
        <v>101</v>
      </c>
      <c r="F488" s="17" t="s">
        <v>260</v>
      </c>
      <c r="G488" s="32">
        <v>600820</v>
      </c>
      <c r="J488" s="79">
        <f>SUM(A487:A488)</f>
        <v>12116680</v>
      </c>
      <c r="K488" s="30"/>
      <c r="L488" s="31"/>
    </row>
    <row r="489" spans="1:12" ht="18.95" customHeight="1">
      <c r="A489" s="75">
        <f>375160+190000+100000+23000+65000+40000</f>
        <v>793160</v>
      </c>
      <c r="B489" s="75"/>
      <c r="C489" s="75">
        <f t="shared" si="8"/>
        <v>793160</v>
      </c>
      <c r="D489" s="32">
        <f>7530+15764+5430+30030+49230+25430</f>
        <v>133414</v>
      </c>
      <c r="E489" s="96" t="s">
        <v>83</v>
      </c>
      <c r="F489" s="17" t="s">
        <v>261</v>
      </c>
      <c r="G489" s="32">
        <v>25430</v>
      </c>
      <c r="J489" s="30"/>
      <c r="K489" s="30"/>
      <c r="L489" s="31"/>
    </row>
    <row r="490" spans="1:12" ht="18.95" customHeight="1">
      <c r="A490" s="75">
        <f>855000+570000+60000+20000+39800+20000+90000+50000+265000+65000+770280+290000+80000+100000+396000+50000+50000-500000+500000+150000+100000+50000</f>
        <v>4071080</v>
      </c>
      <c r="B490" s="75"/>
      <c r="C490" s="75">
        <f t="shared" si="8"/>
        <v>4071080</v>
      </c>
      <c r="D490" s="32">
        <f>31920+280268+334687.16+59809+86918.51+177696</f>
        <v>971298.66999999993</v>
      </c>
      <c r="E490" s="96" t="s">
        <v>84</v>
      </c>
      <c r="F490" s="17" t="s">
        <v>262</v>
      </c>
      <c r="G490" s="32">
        <v>177696</v>
      </c>
      <c r="J490" s="30"/>
      <c r="K490" s="30"/>
      <c r="L490" s="31"/>
    </row>
    <row r="491" spans="1:12" ht="18.95" customHeight="1">
      <c r="A491" s="75">
        <f>395000+80000+20000+15000+125500+20000+50000+869840+60000+50000</f>
        <v>1685340</v>
      </c>
      <c r="B491" s="75"/>
      <c r="C491" s="75">
        <f t="shared" si="8"/>
        <v>1685340</v>
      </c>
      <c r="D491" s="32">
        <f>8100+78208.44+21820.9+74094.42+241331.86+5150</f>
        <v>428705.62</v>
      </c>
      <c r="E491" s="95" t="s">
        <v>85</v>
      </c>
      <c r="F491" s="17" t="s">
        <v>263</v>
      </c>
      <c r="G491" s="32">
        <v>5150</v>
      </c>
      <c r="J491" s="79"/>
      <c r="K491" s="30"/>
      <c r="L491" s="31"/>
    </row>
    <row r="492" spans="1:12" ht="18.95" customHeight="1">
      <c r="A492" s="75">
        <f>360000+10000+8000</f>
        <v>378000</v>
      </c>
      <c r="B492" s="75"/>
      <c r="C492" s="75">
        <f t="shared" si="8"/>
        <v>378000</v>
      </c>
      <c r="D492" s="32">
        <f>13206.98+26442.49+12618.58+12248.48+21134.41+17133.56</f>
        <v>102784.5</v>
      </c>
      <c r="E492" s="95" t="s">
        <v>86</v>
      </c>
      <c r="F492" s="17" t="s">
        <v>264</v>
      </c>
      <c r="G492" s="32">
        <v>17133.560000000001</v>
      </c>
      <c r="J492" s="30">
        <f>SUM(A489:A492)</f>
        <v>6927580</v>
      </c>
      <c r="K492" s="30"/>
      <c r="L492" s="31"/>
    </row>
    <row r="493" spans="1:12" ht="18.95" customHeight="1">
      <c r="A493" s="75">
        <f>108000+15000+87900</f>
        <v>210900</v>
      </c>
      <c r="B493" s="75"/>
      <c r="C493" s="75">
        <f t="shared" si="8"/>
        <v>210900</v>
      </c>
      <c r="D493" s="32">
        <v>0</v>
      </c>
      <c r="E493" s="95" t="s">
        <v>36</v>
      </c>
      <c r="F493" s="17" t="s">
        <v>265</v>
      </c>
      <c r="G493" s="32">
        <v>0</v>
      </c>
      <c r="I493" s="3">
        <f>SUM(A493:A494)</f>
        <v>3284700</v>
      </c>
      <c r="J493" s="30"/>
      <c r="K493" s="30"/>
      <c r="L493" s="31"/>
    </row>
    <row r="494" spans="1:12" ht="18.95" customHeight="1">
      <c r="A494" s="75">
        <f>50000+3023800</f>
        <v>3073800</v>
      </c>
      <c r="B494" s="75"/>
      <c r="C494" s="75">
        <f t="shared" si="8"/>
        <v>3073800</v>
      </c>
      <c r="D494" s="32">
        <v>0</v>
      </c>
      <c r="E494" s="95" t="s">
        <v>37</v>
      </c>
      <c r="F494" s="17" t="s">
        <v>266</v>
      </c>
      <c r="G494" s="32">
        <v>0</v>
      </c>
      <c r="J494" s="30">
        <f>SUM(A493:A494)</f>
        <v>3284700</v>
      </c>
      <c r="K494" s="30"/>
      <c r="L494" s="31"/>
    </row>
    <row r="495" spans="1:12" ht="18.95" customHeight="1" thickBot="1">
      <c r="A495" s="75">
        <f>25000</f>
        <v>25000</v>
      </c>
      <c r="B495" s="101"/>
      <c r="C495" s="75">
        <f t="shared" si="8"/>
        <v>25000</v>
      </c>
      <c r="D495" s="32">
        <v>0</v>
      </c>
      <c r="E495" s="95" t="s">
        <v>102</v>
      </c>
      <c r="F495" s="17" t="s">
        <v>267</v>
      </c>
      <c r="G495" s="32">
        <v>0</v>
      </c>
      <c r="I495" s="102">
        <f>SUM(G486:G496)</f>
        <v>1120875.56</v>
      </c>
      <c r="J495" s="30">
        <f>SUM(A495)</f>
        <v>25000</v>
      </c>
      <c r="K495" s="30"/>
      <c r="L495" s="31"/>
    </row>
    <row r="496" spans="1:12" ht="18.95" customHeight="1" thickTop="1">
      <c r="A496" s="75">
        <f>180000+1288000+351100</f>
        <v>1819100</v>
      </c>
      <c r="B496" s="101"/>
      <c r="C496" s="75">
        <f t="shared" si="8"/>
        <v>1819100</v>
      </c>
      <c r="D496" s="24">
        <f>322000+297000+26000</f>
        <v>645000</v>
      </c>
      <c r="E496" s="170" t="s">
        <v>89</v>
      </c>
      <c r="F496" s="27" t="s">
        <v>268</v>
      </c>
      <c r="G496" s="24">
        <v>0</v>
      </c>
      <c r="J496" s="30">
        <f>SUM(A496)</f>
        <v>1819100</v>
      </c>
      <c r="K496" s="30"/>
      <c r="L496" s="31"/>
    </row>
    <row r="497" spans="1:12" s="110" customFormat="1" ht="18.95" customHeight="1" thickBot="1">
      <c r="A497" s="244">
        <f>SUM(A486:A496)</f>
        <v>36000000</v>
      </c>
      <c r="B497" s="244">
        <f>SUM(B486:B496)</f>
        <v>0</v>
      </c>
      <c r="C497" s="244">
        <f>SUM(C486:C496)</f>
        <v>36000000</v>
      </c>
      <c r="D497" s="175">
        <f>SUM(D486:D496)</f>
        <v>7831465.79</v>
      </c>
      <c r="E497" s="254"/>
      <c r="F497" s="178"/>
      <c r="G497" s="244">
        <f>SUM(G486:G496)</f>
        <v>1120875.56</v>
      </c>
      <c r="I497" s="111"/>
      <c r="J497" s="36">
        <f>SUM(J486:J496)</f>
        <v>36000000</v>
      </c>
      <c r="K497" s="36"/>
      <c r="L497" s="131"/>
    </row>
    <row r="498" spans="1:12" ht="18.95" customHeight="1" thickTop="1">
      <c r="A498" s="171"/>
      <c r="B498" s="171"/>
      <c r="C498" s="171"/>
      <c r="D498" s="23">
        <f>810700+846044+833348+831016+978328+824224</f>
        <v>5123660</v>
      </c>
      <c r="E498" s="21" t="s">
        <v>179</v>
      </c>
      <c r="F498" s="20" t="s">
        <v>256</v>
      </c>
      <c r="G498" s="172">
        <f>565800+244000+1500+12924</f>
        <v>824224</v>
      </c>
      <c r="J498" s="30"/>
      <c r="K498" s="30"/>
      <c r="L498" s="31"/>
    </row>
    <row r="499" spans="1:12" ht="18.95" customHeight="1">
      <c r="A499" s="75"/>
      <c r="B499" s="32"/>
      <c r="C499" s="75"/>
      <c r="D499" s="26">
        <f>1186831.48+650000+521617+1236675.86+2712000+148000</f>
        <v>6455124.3399999999</v>
      </c>
      <c r="E499" s="15" t="s">
        <v>180</v>
      </c>
      <c r="F499" s="25">
        <v>21010000</v>
      </c>
      <c r="G499" s="32">
        <v>148000</v>
      </c>
      <c r="I499" s="98"/>
      <c r="J499" s="30"/>
      <c r="K499" s="30"/>
      <c r="L499" s="31"/>
    </row>
    <row r="500" spans="1:12" ht="18.95" customHeight="1">
      <c r="A500" s="75"/>
      <c r="B500" s="126"/>
      <c r="C500" s="75"/>
      <c r="D500" s="26">
        <f>84067.88+20590.73+35465.17+231673.27+68737.59</f>
        <v>440534.64</v>
      </c>
      <c r="E500" s="15" t="s">
        <v>241</v>
      </c>
      <c r="F500" s="17" t="s">
        <v>254</v>
      </c>
      <c r="G500" s="32">
        <f>29601.59+10686+24900+260+3290</f>
        <v>68737.59</v>
      </c>
      <c r="J500" s="30"/>
      <c r="K500" s="30"/>
      <c r="L500" s="31"/>
    </row>
    <row r="501" spans="1:12" ht="18.95" customHeight="1">
      <c r="A501" s="75"/>
      <c r="B501" s="126"/>
      <c r="C501" s="75"/>
      <c r="D501" s="26"/>
      <c r="E501" s="15"/>
      <c r="F501" s="17"/>
      <c r="G501" s="32"/>
      <c r="J501" s="30"/>
      <c r="K501" s="30"/>
      <c r="L501" s="31"/>
    </row>
    <row r="502" spans="1:12" ht="18.95" customHeight="1">
      <c r="A502" s="75"/>
      <c r="B502" s="24"/>
      <c r="C502" s="75"/>
      <c r="D502" s="26"/>
      <c r="E502" s="15"/>
      <c r="F502" s="25"/>
      <c r="G502" s="32"/>
      <c r="I502" s="98"/>
      <c r="J502" s="30"/>
      <c r="K502" s="30"/>
      <c r="L502" s="31"/>
    </row>
    <row r="503" spans="1:12" ht="18.95" customHeight="1">
      <c r="A503" s="75"/>
      <c r="B503" s="32"/>
      <c r="C503" s="75"/>
      <c r="D503" s="26"/>
      <c r="E503" s="15"/>
      <c r="F503" s="25"/>
      <c r="G503" s="32"/>
      <c r="I503" s="98"/>
      <c r="J503" s="30"/>
      <c r="K503" s="30"/>
      <c r="L503" s="31"/>
    </row>
    <row r="504" spans="1:12" ht="18.95" customHeight="1">
      <c r="A504" s="14"/>
      <c r="B504" s="127"/>
      <c r="C504" s="127"/>
      <c r="D504" s="26">
        <v>0</v>
      </c>
      <c r="E504" s="128"/>
      <c r="F504" s="17"/>
      <c r="G504" s="32">
        <v>0</v>
      </c>
    </row>
    <row r="505" spans="1:12" ht="18.95" customHeight="1">
      <c r="A505" s="14"/>
      <c r="B505" s="127"/>
      <c r="C505" s="127"/>
      <c r="D505" s="26">
        <v>0</v>
      </c>
      <c r="E505" s="128"/>
      <c r="F505" s="17"/>
      <c r="G505" s="32">
        <v>0</v>
      </c>
    </row>
    <row r="506" spans="1:12" ht="18.95" customHeight="1">
      <c r="A506" s="14"/>
      <c r="B506" s="127"/>
      <c r="C506" s="127"/>
      <c r="D506" s="26">
        <v>0</v>
      </c>
      <c r="E506" s="128"/>
      <c r="F506" s="17"/>
      <c r="G506" s="32">
        <v>0</v>
      </c>
    </row>
    <row r="507" spans="1:12" ht="18.95" customHeight="1">
      <c r="A507" s="14"/>
      <c r="B507" s="127"/>
      <c r="C507" s="127"/>
      <c r="D507" s="26">
        <v>0</v>
      </c>
      <c r="E507" s="105"/>
      <c r="F507" s="17"/>
      <c r="G507" s="32">
        <v>0</v>
      </c>
    </row>
    <row r="508" spans="1:12" ht="18.95" customHeight="1">
      <c r="A508" s="123"/>
      <c r="B508" s="22"/>
      <c r="C508" s="22"/>
      <c r="D508" s="26">
        <v>0</v>
      </c>
      <c r="E508" s="133"/>
      <c r="F508" s="20"/>
      <c r="G508" s="19">
        <v>0</v>
      </c>
    </row>
    <row r="509" spans="1:12" ht="27" customHeight="1" thickBot="1">
      <c r="A509" s="179"/>
      <c r="B509" s="179"/>
      <c r="C509" s="179"/>
      <c r="D509" s="175">
        <f>SUM(D497:D508)</f>
        <v>19850784.77</v>
      </c>
      <c r="E509" s="180" t="s">
        <v>32</v>
      </c>
      <c r="F509" s="181"/>
      <c r="G509" s="182">
        <f>SUM(G497+G498+G499+G500+G501+G502+G503+G504)</f>
        <v>2161837.15</v>
      </c>
      <c r="J509" s="30"/>
      <c r="K509" s="30"/>
      <c r="L509" s="31"/>
    </row>
    <row r="510" spans="1:12" ht="22.5" customHeight="1" thickTop="1">
      <c r="A510" s="87"/>
      <c r="B510" s="87"/>
      <c r="C510" s="87"/>
      <c r="D510" s="99">
        <f>SUM(D469-D509)</f>
        <v>3773317.5300000012</v>
      </c>
      <c r="E510" s="107" t="s">
        <v>38</v>
      </c>
      <c r="F510" s="108"/>
      <c r="G510" s="100"/>
    </row>
    <row r="511" spans="1:12" ht="20.25" customHeight="1">
      <c r="A511" s="87"/>
      <c r="B511" s="87"/>
      <c r="C511" s="22"/>
      <c r="D511" s="26"/>
      <c r="E511" s="70" t="s">
        <v>187</v>
      </c>
      <c r="F511" s="108"/>
      <c r="G511" s="32"/>
    </row>
    <row r="512" spans="1:12" ht="21" customHeight="1">
      <c r="A512" s="42"/>
      <c r="B512" s="42"/>
      <c r="C512" s="97"/>
      <c r="D512" s="100"/>
      <c r="E512" s="107" t="s">
        <v>103</v>
      </c>
      <c r="F512" s="108"/>
      <c r="G512" s="100">
        <f>SUM(G469-G509)</f>
        <v>-510129.62999999989</v>
      </c>
    </row>
    <row r="513" spans="1:11" ht="21" customHeight="1" thickBot="1">
      <c r="A513" s="87"/>
      <c r="B513" s="87"/>
      <c r="C513" s="22"/>
      <c r="D513" s="34">
        <f>SUM(D445+D510)</f>
        <v>24736315</v>
      </c>
      <c r="E513" s="107" t="s">
        <v>104</v>
      </c>
      <c r="F513" s="108"/>
      <c r="G513" s="34">
        <f>SUM(G445+G512)</f>
        <v>24736315</v>
      </c>
      <c r="I513" s="187">
        <v>24729429</v>
      </c>
      <c r="J513" s="3">
        <f>SUM(G513-I513)</f>
        <v>6886</v>
      </c>
      <c r="K513" s="3">
        <f>SUM(I513-I516)</f>
        <v>-526713.62999999896</v>
      </c>
    </row>
    <row r="514" spans="1:11" ht="5.25" customHeight="1" thickTop="1">
      <c r="A514" s="87"/>
      <c r="B514" s="87"/>
      <c r="C514" s="87"/>
      <c r="D514" s="74"/>
      <c r="E514" s="285"/>
      <c r="F514" s="88"/>
      <c r="G514" s="78"/>
    </row>
    <row r="515" spans="1:11" ht="18.95" customHeight="1">
      <c r="A515" s="87" t="s">
        <v>19</v>
      </c>
      <c r="B515" s="87"/>
      <c r="C515" s="87"/>
      <c r="D515" s="74"/>
      <c r="E515" s="285"/>
      <c r="F515" s="88"/>
      <c r="G515" s="78"/>
    </row>
    <row r="516" spans="1:11" ht="20.25" customHeight="1">
      <c r="A516" s="87" t="s">
        <v>322</v>
      </c>
      <c r="B516" s="87"/>
      <c r="C516" s="87"/>
      <c r="D516" s="74"/>
      <c r="E516" s="285"/>
      <c r="F516" s="88"/>
      <c r="G516" s="78"/>
      <c r="I516" s="3">
        <v>25256142.629999999</v>
      </c>
    </row>
    <row r="517" spans="1:11" ht="20.25" customHeight="1">
      <c r="A517" s="87"/>
      <c r="B517" s="87"/>
      <c r="C517" s="87"/>
      <c r="D517" s="74"/>
      <c r="E517" s="285"/>
      <c r="F517" s="88"/>
      <c r="G517" s="78"/>
      <c r="I517" s="3">
        <v>1102</v>
      </c>
      <c r="J517" s="3">
        <f>SUM(I516-G513)</f>
        <v>519827.62999999896</v>
      </c>
    </row>
    <row r="518" spans="1:11" ht="21" customHeight="1">
      <c r="A518" s="87" t="s">
        <v>79</v>
      </c>
      <c r="B518" s="87"/>
      <c r="C518" s="87"/>
      <c r="D518" s="30"/>
      <c r="E518" s="77"/>
      <c r="F518" s="88"/>
      <c r="G518" s="42"/>
    </row>
    <row r="519" spans="1:11" ht="21" customHeight="1">
      <c r="A519" s="87"/>
      <c r="B519" s="87"/>
      <c r="C519" s="87"/>
      <c r="D519" s="30"/>
      <c r="E519" s="77"/>
      <c r="F519" s="88"/>
      <c r="G519" s="42"/>
    </row>
    <row r="520" spans="1:11" ht="23.25" customHeight="1">
      <c r="A520" s="87" t="s">
        <v>190</v>
      </c>
      <c r="B520" s="87"/>
      <c r="C520" s="87"/>
      <c r="D520" s="74"/>
      <c r="E520" s="285"/>
      <c r="F520" s="88"/>
      <c r="G520" s="78"/>
    </row>
    <row r="521" spans="1:11" ht="18.95" customHeight="1">
      <c r="A521" s="87" t="s">
        <v>186</v>
      </c>
      <c r="B521" s="87"/>
      <c r="C521" s="87"/>
      <c r="D521" s="74"/>
      <c r="E521" s="285"/>
      <c r="F521" s="88"/>
      <c r="G521" s="78"/>
    </row>
    <row r="524" spans="1:11" ht="18.95" customHeight="1">
      <c r="A524" s="303" t="s">
        <v>20</v>
      </c>
      <c r="B524" s="303"/>
      <c r="C524" s="303"/>
      <c r="D524" s="303"/>
      <c r="E524" s="303"/>
      <c r="F524" s="303"/>
      <c r="G524" s="303"/>
    </row>
    <row r="525" spans="1:11" ht="18.95" customHeight="1">
      <c r="A525" s="303" t="s">
        <v>92</v>
      </c>
      <c r="B525" s="303"/>
      <c r="C525" s="303"/>
      <c r="D525" s="303"/>
      <c r="E525" s="303"/>
      <c r="F525" s="303"/>
      <c r="G525" s="303"/>
    </row>
    <row r="526" spans="1:11" ht="18.95" customHeight="1">
      <c r="A526" s="303" t="s">
        <v>337</v>
      </c>
      <c r="B526" s="303"/>
      <c r="C526" s="303"/>
      <c r="D526" s="303"/>
      <c r="E526" s="303"/>
      <c r="F526" s="303"/>
      <c r="G526" s="303"/>
    </row>
    <row r="527" spans="1:11" ht="18.95" customHeight="1" thickBot="1">
      <c r="A527" s="304"/>
      <c r="B527" s="304"/>
      <c r="C527" s="304"/>
      <c r="D527" s="304"/>
      <c r="E527" s="304"/>
      <c r="F527" s="304"/>
      <c r="G527" s="304"/>
    </row>
    <row r="528" spans="1:11" ht="18.95" customHeight="1" thickTop="1" thickBot="1">
      <c r="A528" s="300" t="s">
        <v>6</v>
      </c>
      <c r="B528" s="301"/>
      <c r="C528" s="301"/>
      <c r="D528" s="302"/>
      <c r="E528" s="4"/>
      <c r="F528" s="5" t="s">
        <v>16</v>
      </c>
      <c r="G528" s="125" t="s">
        <v>26</v>
      </c>
    </row>
    <row r="529" spans="1:11" ht="18.95" customHeight="1" thickTop="1">
      <c r="A529" s="118" t="s">
        <v>1</v>
      </c>
      <c r="B529" s="114" t="s">
        <v>93</v>
      </c>
      <c r="C529" s="114" t="s">
        <v>97</v>
      </c>
      <c r="D529" s="6" t="s">
        <v>7</v>
      </c>
      <c r="E529" s="4" t="s">
        <v>8</v>
      </c>
      <c r="F529" s="8" t="s">
        <v>17</v>
      </c>
      <c r="G529" s="115" t="s">
        <v>18</v>
      </c>
    </row>
    <row r="530" spans="1:11" ht="18.95" customHeight="1">
      <c r="A530" s="119" t="s">
        <v>96</v>
      </c>
      <c r="B530" s="9" t="s">
        <v>94</v>
      </c>
      <c r="C530" s="9" t="s">
        <v>96</v>
      </c>
      <c r="D530" s="116" t="s">
        <v>96</v>
      </c>
      <c r="E530" s="7"/>
      <c r="F530" s="8"/>
      <c r="G530" s="115" t="s">
        <v>98</v>
      </c>
    </row>
    <row r="531" spans="1:11" ht="18.95" customHeight="1" thickBot="1">
      <c r="A531" s="117"/>
      <c r="B531" s="13" t="s">
        <v>95</v>
      </c>
      <c r="C531" s="10"/>
      <c r="D531" s="289"/>
      <c r="E531" s="11"/>
      <c r="F531" s="12"/>
      <c r="G531" s="13" t="s">
        <v>96</v>
      </c>
    </row>
    <row r="532" spans="1:11" s="150" customFormat="1" ht="18.95" customHeight="1" thickTop="1" thickBot="1">
      <c r="A532" s="149"/>
      <c r="B532" s="149"/>
      <c r="C532" s="149"/>
      <c r="D532" s="154">
        <f>20962997.47</f>
        <v>20962997.469999999</v>
      </c>
      <c r="E532" s="152" t="s">
        <v>3</v>
      </c>
      <c r="F532" s="153"/>
      <c r="G532" s="34">
        <f>SUM(G513)</f>
        <v>24736315</v>
      </c>
      <c r="I532" s="151"/>
      <c r="J532" s="151"/>
      <c r="K532" s="151"/>
    </row>
    <row r="533" spans="1:11" ht="18.95" customHeight="1" thickTop="1">
      <c r="A533" s="14"/>
      <c r="B533" s="14"/>
      <c r="C533" s="14"/>
      <c r="D533" s="15"/>
      <c r="E533" s="16" t="s">
        <v>68</v>
      </c>
      <c r="F533" s="17"/>
      <c r="G533" s="14"/>
    </row>
    <row r="534" spans="1:11" s="110" customFormat="1" ht="18.95" customHeight="1">
      <c r="A534" s="255">
        <f>C534</f>
        <v>186000</v>
      </c>
      <c r="B534" s="32"/>
      <c r="C534" s="255">
        <v>186000</v>
      </c>
      <c r="D534" s="32">
        <f>497.26+4449.04+41526.04+59188.86+43500.24</f>
        <v>149161.44</v>
      </c>
      <c r="E534" s="15" t="s">
        <v>9</v>
      </c>
      <c r="F534" s="121" t="s">
        <v>246</v>
      </c>
      <c r="G534" s="32">
        <f>14323.5+28360.74+816</f>
        <v>43500.240000000005</v>
      </c>
      <c r="I534" s="111"/>
      <c r="J534" s="111"/>
      <c r="K534" s="111"/>
    </row>
    <row r="535" spans="1:11" s="110" customFormat="1" ht="18.95" customHeight="1">
      <c r="A535" s="255">
        <f>C535</f>
        <v>113500</v>
      </c>
      <c r="B535" s="32"/>
      <c r="C535" s="255">
        <v>113500</v>
      </c>
      <c r="D535" s="32">
        <f>55+20+200+50+11562+3290+1976+15891+18427+6121</f>
        <v>57592</v>
      </c>
      <c r="E535" s="15" t="s">
        <v>10</v>
      </c>
      <c r="F535" s="121" t="s">
        <v>247</v>
      </c>
      <c r="G535" s="32">
        <f>100+500+3080+143+50+2248</f>
        <v>6121</v>
      </c>
      <c r="I535" s="111"/>
      <c r="J535" s="111"/>
      <c r="K535" s="111"/>
    </row>
    <row r="536" spans="1:11" s="110" customFormat="1" ht="18.95" customHeight="1">
      <c r="A536" s="255">
        <f>C536</f>
        <v>100000</v>
      </c>
      <c r="B536" s="32"/>
      <c r="C536" s="255">
        <v>100000</v>
      </c>
      <c r="D536" s="32">
        <f>53111.51+9626.17+5247.63</f>
        <v>67985.31</v>
      </c>
      <c r="E536" s="15" t="s">
        <v>11</v>
      </c>
      <c r="F536" s="121" t="s">
        <v>248</v>
      </c>
      <c r="G536" s="32">
        <v>0</v>
      </c>
      <c r="I536" s="111"/>
      <c r="J536" s="111"/>
      <c r="K536" s="111"/>
    </row>
    <row r="537" spans="1:11" s="110" customFormat="1" ht="18.95" customHeight="1">
      <c r="A537" s="255">
        <v>0</v>
      </c>
      <c r="B537" s="32"/>
      <c r="C537" s="255">
        <f>SUM(A537:B537)</f>
        <v>0</v>
      </c>
      <c r="D537" s="32">
        <v>0</v>
      </c>
      <c r="E537" s="15" t="s">
        <v>12</v>
      </c>
      <c r="F537" s="121" t="s">
        <v>249</v>
      </c>
      <c r="G537" s="32">
        <v>0</v>
      </c>
      <c r="I537" s="111"/>
      <c r="J537" s="111"/>
      <c r="K537" s="111"/>
    </row>
    <row r="538" spans="1:11" s="110" customFormat="1" ht="18.95" customHeight="1">
      <c r="A538" s="255">
        <f>C538</f>
        <v>10500</v>
      </c>
      <c r="B538" s="32"/>
      <c r="C538" s="255">
        <v>10500</v>
      </c>
      <c r="D538" s="32">
        <f>2000+296+28+15000</f>
        <v>17324</v>
      </c>
      <c r="E538" s="15" t="s">
        <v>13</v>
      </c>
      <c r="F538" s="121" t="s">
        <v>250</v>
      </c>
      <c r="G538" s="32">
        <v>0</v>
      </c>
      <c r="I538" s="111"/>
      <c r="J538" s="111"/>
      <c r="K538" s="111"/>
    </row>
    <row r="539" spans="1:11" s="110" customFormat="1" ht="18.95" customHeight="1">
      <c r="A539" s="255">
        <v>0</v>
      </c>
      <c r="B539" s="32"/>
      <c r="C539" s="255">
        <f>SUM(A539:B539)</f>
        <v>0</v>
      </c>
      <c r="D539" s="32">
        <v>0</v>
      </c>
      <c r="E539" s="15" t="s">
        <v>14</v>
      </c>
      <c r="F539" s="121" t="s">
        <v>251</v>
      </c>
      <c r="G539" s="32">
        <v>0</v>
      </c>
      <c r="I539" s="111"/>
      <c r="J539" s="111"/>
      <c r="K539" s="111"/>
    </row>
    <row r="540" spans="1:11" s="110" customFormat="1" ht="18.95" customHeight="1">
      <c r="A540" s="255">
        <f>C540</f>
        <v>15590000</v>
      </c>
      <c r="B540" s="32"/>
      <c r="C540" s="255">
        <v>15590000</v>
      </c>
      <c r="D540" s="32">
        <f>807681.19+136065.98+375552.6+11585.92+44513+1553344.35+1529741.63+1204336.32+1597499.99+1507980.71+1556677.61</f>
        <v>10324979.300000001</v>
      </c>
      <c r="E540" s="15" t="s">
        <v>15</v>
      </c>
      <c r="F540" s="121" t="s">
        <v>252</v>
      </c>
      <c r="G540" s="32">
        <f>46580.88+795581.45+233138.62+439961.66+41415</f>
        <v>1556677.6099999999</v>
      </c>
      <c r="I540" s="111"/>
      <c r="J540" s="111"/>
      <c r="K540" s="111"/>
    </row>
    <row r="541" spans="1:11" s="110" customFormat="1" ht="18.95" customHeight="1">
      <c r="A541" s="255">
        <v>20000000</v>
      </c>
      <c r="B541" s="32"/>
      <c r="C541" s="255">
        <f>SUM(A541:B541)</f>
        <v>20000000</v>
      </c>
      <c r="D541" s="32">
        <f>5566536+4689911+689000+1874406</f>
        <v>12819853</v>
      </c>
      <c r="E541" s="15" t="s">
        <v>52</v>
      </c>
      <c r="F541" s="121" t="s">
        <v>253</v>
      </c>
      <c r="G541" s="32">
        <f>1874406</f>
        <v>1874406</v>
      </c>
      <c r="I541" s="111">
        <f>SUM(G534:G541)</f>
        <v>3480704.8499999996</v>
      </c>
      <c r="J541" s="147">
        <f>SUM(D534:D541)</f>
        <v>23436895.050000001</v>
      </c>
      <c r="K541" s="147" t="s">
        <v>159</v>
      </c>
    </row>
    <row r="542" spans="1:11" s="110" customFormat="1" ht="18.95" customHeight="1">
      <c r="A542" s="256"/>
      <c r="B542" s="275">
        <v>40000</v>
      </c>
      <c r="C542" s="275">
        <v>40000</v>
      </c>
      <c r="D542" s="33">
        <v>40000</v>
      </c>
      <c r="E542" s="15" t="s">
        <v>338</v>
      </c>
      <c r="F542" s="162" t="s">
        <v>339</v>
      </c>
      <c r="G542" s="24">
        <v>40000</v>
      </c>
      <c r="I542" s="111"/>
      <c r="J542" s="111"/>
      <c r="K542" s="111"/>
    </row>
    <row r="543" spans="1:11" s="156" customFormat="1" ht="18.95" customHeight="1" thickBot="1">
      <c r="A543" s="182">
        <f>SUM(A534:A542)</f>
        <v>36000000</v>
      </c>
      <c r="B543" s="182">
        <f>SUM(B534:B542)</f>
        <v>40000</v>
      </c>
      <c r="C543" s="182">
        <f>SUM(C534:C542)</f>
        <v>36040000</v>
      </c>
      <c r="D543" s="175">
        <f>SUM(D534:D542)</f>
        <v>23476895.050000001</v>
      </c>
      <c r="E543" s="258"/>
      <c r="F543" s="164"/>
      <c r="G543" s="175">
        <f>SUM(G534:G542)</f>
        <v>3520704.8499999996</v>
      </c>
      <c r="I543" s="147"/>
      <c r="J543" s="147"/>
      <c r="K543" s="147"/>
    </row>
    <row r="544" spans="1:11" s="110" customFormat="1" ht="21.75" customHeight="1" thickTop="1">
      <c r="A544" s="259"/>
      <c r="B544" s="23"/>
      <c r="C544" s="260"/>
      <c r="D544" s="23">
        <f>40510.97+38103.17+23622.23+103996.55+45863.32+80212.21</f>
        <v>332308.45</v>
      </c>
      <c r="E544" s="15" t="s">
        <v>162</v>
      </c>
      <c r="F544" s="17" t="s">
        <v>254</v>
      </c>
      <c r="G544" s="24">
        <f>33901.95+1000+10730+3290+1810.26+29400+80</f>
        <v>80212.209999999992</v>
      </c>
      <c r="I544" s="111"/>
      <c r="J544" s="111"/>
      <c r="K544" s="111"/>
    </row>
    <row r="545" spans="1:12" s="110" customFormat="1" ht="18.95" customHeight="1">
      <c r="A545" s="14"/>
      <c r="B545" s="14"/>
      <c r="C545" s="14"/>
      <c r="D545" s="24">
        <f>873675.86+2534000</f>
        <v>3407675.86</v>
      </c>
      <c r="E545" s="15" t="s">
        <v>137</v>
      </c>
      <c r="F545" s="17" t="s">
        <v>255</v>
      </c>
      <c r="G545" s="24">
        <v>0</v>
      </c>
      <c r="I545" s="111"/>
      <c r="J545" s="111"/>
      <c r="K545" s="111"/>
    </row>
    <row r="546" spans="1:12" s="110" customFormat="1" ht="18.95" customHeight="1">
      <c r="A546" s="32"/>
      <c r="B546" s="32"/>
      <c r="C546" s="32"/>
      <c r="D546" s="26">
        <f>600+800+700</f>
        <v>2100</v>
      </c>
      <c r="E546" s="173" t="s">
        <v>189</v>
      </c>
      <c r="F546" s="17" t="s">
        <v>256</v>
      </c>
      <c r="G546" s="24">
        <v>700</v>
      </c>
      <c r="I546" s="111"/>
      <c r="J546" s="111"/>
      <c r="K546" s="111"/>
    </row>
    <row r="547" spans="1:12" s="110" customFormat="1" ht="18.95" customHeight="1">
      <c r="A547" s="14"/>
      <c r="B547" s="14"/>
      <c r="C547" s="14"/>
      <c r="D547" s="26">
        <f>4000+940</f>
        <v>4940</v>
      </c>
      <c r="E547" s="15" t="s">
        <v>291</v>
      </c>
      <c r="F547" s="17" t="s">
        <v>256</v>
      </c>
      <c r="G547" s="32">
        <v>0</v>
      </c>
      <c r="I547" s="111"/>
      <c r="J547" s="111"/>
      <c r="K547" s="111"/>
    </row>
    <row r="548" spans="1:12" s="110" customFormat="1" ht="18.95" customHeight="1">
      <c r="A548" s="14"/>
      <c r="B548" s="14"/>
      <c r="C548" s="14"/>
      <c r="D548" s="37">
        <f>1200+600</f>
        <v>1800</v>
      </c>
      <c r="E548" s="15" t="s">
        <v>99</v>
      </c>
      <c r="F548" s="17" t="s">
        <v>258</v>
      </c>
      <c r="G548" s="24">
        <v>0</v>
      </c>
      <c r="I548" s="111"/>
      <c r="J548" s="111"/>
      <c r="K548" s="111"/>
    </row>
    <row r="549" spans="1:12" s="110" customFormat="1" ht="18.95" customHeight="1">
      <c r="A549" s="14"/>
      <c r="B549" s="14"/>
      <c r="C549" s="14"/>
      <c r="D549" s="23"/>
      <c r="E549" s="15"/>
      <c r="F549" s="17"/>
      <c r="G549" s="32"/>
      <c r="I549" s="111"/>
      <c r="J549" s="111"/>
      <c r="K549" s="111"/>
    </row>
    <row r="550" spans="1:12" s="110" customFormat="1" ht="18.95" customHeight="1">
      <c r="A550" s="14"/>
      <c r="B550" s="14"/>
      <c r="C550" s="14"/>
      <c r="D550" s="23"/>
      <c r="E550" s="15"/>
      <c r="F550" s="17"/>
      <c r="G550" s="32"/>
      <c r="I550" s="111"/>
      <c r="J550" s="111"/>
      <c r="K550" s="111"/>
    </row>
    <row r="551" spans="1:12" s="110" customFormat="1" ht="18.95" customHeight="1">
      <c r="A551" s="14"/>
      <c r="B551" s="14"/>
      <c r="C551" s="14"/>
      <c r="D551" s="23"/>
      <c r="E551" s="15"/>
      <c r="F551" s="17"/>
      <c r="G551" s="32"/>
      <c r="I551" s="111"/>
      <c r="J551" s="111"/>
      <c r="K551" s="111"/>
    </row>
    <row r="552" spans="1:12" s="110" customFormat="1" ht="18.95" customHeight="1">
      <c r="A552" s="14"/>
      <c r="B552" s="14"/>
      <c r="C552" s="14"/>
      <c r="D552" s="23"/>
      <c r="E552" s="15"/>
      <c r="F552" s="17"/>
      <c r="G552" s="32"/>
      <c r="I552" s="111"/>
      <c r="J552" s="111"/>
      <c r="K552" s="111"/>
    </row>
    <row r="553" spans="1:12" ht="18.95" customHeight="1">
      <c r="A553" s="14"/>
      <c r="B553" s="14"/>
      <c r="C553" s="14"/>
      <c r="D553" s="23"/>
      <c r="E553" s="15"/>
      <c r="F553" s="17"/>
      <c r="G553" s="32"/>
    </row>
    <row r="554" spans="1:12" ht="18.95" customHeight="1">
      <c r="A554" s="14"/>
      <c r="B554" s="14"/>
      <c r="C554" s="14"/>
      <c r="D554" s="91"/>
      <c r="E554" s="15"/>
      <c r="F554" s="17"/>
      <c r="G554" s="32"/>
    </row>
    <row r="555" spans="1:12" ht="18.95" customHeight="1">
      <c r="A555" s="73"/>
      <c r="B555" s="22"/>
      <c r="C555" s="22"/>
      <c r="D555" s="35"/>
      <c r="E555" s="28"/>
      <c r="F555" s="20"/>
      <c r="G555" s="19"/>
    </row>
    <row r="556" spans="1:12" s="110" customFormat="1" ht="18.95" customHeight="1">
      <c r="A556" s="179"/>
      <c r="B556" s="179"/>
      <c r="C556" s="179"/>
      <c r="D556" s="66">
        <f>SUM(D543:D555)</f>
        <v>27225719.359999999</v>
      </c>
      <c r="E556" s="72" t="s">
        <v>4</v>
      </c>
      <c r="F556" s="261"/>
      <c r="G556" s="262">
        <f>SUM(G543:G555)</f>
        <v>3601617.0599999996</v>
      </c>
      <c r="I556" s="111"/>
      <c r="J556" s="111"/>
      <c r="K556" s="111"/>
    </row>
    <row r="557" spans="1:12" ht="18.95" customHeight="1">
      <c r="A557" s="87"/>
      <c r="B557" s="87"/>
      <c r="C557" s="87"/>
      <c r="D557" s="106"/>
      <c r="E557" s="290"/>
      <c r="F557" s="88"/>
      <c r="G557" s="78"/>
      <c r="J557" s="30"/>
      <c r="K557" s="30"/>
      <c r="L557" s="31"/>
    </row>
    <row r="558" spans="1:12" ht="18.95" customHeight="1">
      <c r="A558" s="87"/>
      <c r="B558" s="87"/>
      <c r="C558" s="87"/>
      <c r="D558" s="106"/>
      <c r="E558" s="290"/>
      <c r="F558" s="88"/>
      <c r="G558" s="78"/>
      <c r="J558" s="30"/>
      <c r="K558" s="30"/>
      <c r="L558" s="31"/>
    </row>
    <row r="559" spans="1:12" ht="18.95" customHeight="1">
      <c r="A559" s="87"/>
      <c r="B559" s="87"/>
      <c r="C559" s="87"/>
      <c r="D559" s="106"/>
      <c r="E559" s="290"/>
      <c r="F559" s="88"/>
      <c r="G559" s="78"/>
      <c r="J559" s="30"/>
      <c r="K559" s="30"/>
      <c r="L559" s="31"/>
    </row>
    <row r="560" spans="1:12" ht="18.95" customHeight="1">
      <c r="A560" s="87"/>
      <c r="B560" s="87"/>
      <c r="C560" s="87"/>
      <c r="D560" s="106"/>
      <c r="E560" s="290"/>
      <c r="F560" s="88"/>
      <c r="G560" s="78"/>
      <c r="J560" s="30"/>
      <c r="K560" s="30"/>
      <c r="L560" s="31"/>
    </row>
    <row r="561" spans="1:12" ht="18.95" customHeight="1">
      <c r="A561" s="87"/>
      <c r="B561" s="87"/>
      <c r="C561" s="87"/>
      <c r="D561" s="106"/>
      <c r="E561" s="290"/>
      <c r="F561" s="88"/>
      <c r="G561" s="78"/>
      <c r="J561" s="30"/>
      <c r="K561" s="30"/>
      <c r="L561" s="31"/>
    </row>
    <row r="562" spans="1:12" ht="18.95" customHeight="1">
      <c r="A562" s="87"/>
      <c r="B562" s="87"/>
      <c r="C562" s="87"/>
      <c r="D562" s="106"/>
      <c r="E562" s="290"/>
      <c r="F562" s="88"/>
      <c r="G562" s="78"/>
      <c r="J562" s="30"/>
      <c r="K562" s="30"/>
      <c r="L562" s="31"/>
    </row>
    <row r="563" spans="1:12" ht="18.95" customHeight="1">
      <c r="A563" s="87"/>
      <c r="B563" s="87"/>
      <c r="C563" s="87"/>
      <c r="D563" s="106"/>
      <c r="E563" s="290"/>
      <c r="F563" s="88"/>
      <c r="G563" s="78"/>
      <c r="J563" s="30"/>
      <c r="K563" s="30"/>
      <c r="L563" s="31"/>
    </row>
    <row r="564" spans="1:12" ht="18.95" customHeight="1">
      <c r="A564" s="87"/>
      <c r="B564" s="87"/>
      <c r="C564" s="87"/>
      <c r="D564" s="106"/>
      <c r="E564" s="290"/>
      <c r="F564" s="88"/>
      <c r="G564" s="78"/>
      <c r="J564" s="30"/>
      <c r="K564" s="30"/>
      <c r="L564" s="31"/>
    </row>
    <row r="565" spans="1:12" ht="18.95" customHeight="1">
      <c r="A565" s="87"/>
      <c r="B565" s="87"/>
      <c r="C565" s="87"/>
      <c r="D565" s="106"/>
      <c r="E565" s="290"/>
      <c r="F565" s="88"/>
      <c r="G565" s="78"/>
      <c r="J565" s="30"/>
      <c r="K565" s="30"/>
      <c r="L565" s="31"/>
    </row>
    <row r="566" spans="1:12" ht="18.95" customHeight="1">
      <c r="A566" s="87"/>
      <c r="B566" s="87"/>
      <c r="C566" s="87"/>
      <c r="D566" s="106"/>
      <c r="E566" s="290"/>
      <c r="F566" s="88"/>
      <c r="G566" s="78"/>
      <c r="J566" s="30"/>
      <c r="K566" s="30"/>
      <c r="L566" s="31"/>
    </row>
    <row r="567" spans="1:12" ht="18.95" customHeight="1" thickBot="1">
      <c r="A567" s="87"/>
      <c r="B567" s="87"/>
      <c r="C567" s="87"/>
      <c r="D567" s="106"/>
      <c r="E567" s="290"/>
      <c r="F567" s="88"/>
      <c r="G567" s="78"/>
      <c r="J567" s="30"/>
      <c r="K567" s="30"/>
      <c r="L567" s="31"/>
    </row>
    <row r="568" spans="1:12" ht="18.95" customHeight="1" thickTop="1" thickBot="1">
      <c r="A568" s="300" t="s">
        <v>6</v>
      </c>
      <c r="B568" s="301"/>
      <c r="C568" s="301"/>
      <c r="D568" s="302"/>
      <c r="E568" s="4"/>
      <c r="F568" s="5" t="s">
        <v>16</v>
      </c>
      <c r="G568" s="125" t="s">
        <v>26</v>
      </c>
    </row>
    <row r="569" spans="1:12" ht="18.95" customHeight="1" thickTop="1">
      <c r="A569" s="118" t="s">
        <v>1</v>
      </c>
      <c r="B569" s="114" t="s">
        <v>93</v>
      </c>
      <c r="C569" s="114" t="s">
        <v>97</v>
      </c>
      <c r="D569" s="6" t="s">
        <v>7</v>
      </c>
      <c r="E569" s="4" t="s">
        <v>8</v>
      </c>
      <c r="F569" s="8" t="s">
        <v>17</v>
      </c>
      <c r="G569" s="115" t="s">
        <v>18</v>
      </c>
    </row>
    <row r="570" spans="1:12" ht="18.95" customHeight="1">
      <c r="A570" s="119" t="s">
        <v>96</v>
      </c>
      <c r="B570" s="9" t="s">
        <v>94</v>
      </c>
      <c r="C570" s="9" t="s">
        <v>96</v>
      </c>
      <c r="D570" s="116" t="s">
        <v>96</v>
      </c>
      <c r="E570" s="7"/>
      <c r="F570" s="8"/>
      <c r="G570" s="115" t="s">
        <v>98</v>
      </c>
    </row>
    <row r="571" spans="1:12" ht="18.95" customHeight="1" thickBot="1">
      <c r="A571" s="117"/>
      <c r="B571" s="13" t="s">
        <v>95</v>
      </c>
      <c r="C571" s="10"/>
      <c r="D571" s="289"/>
      <c r="E571" s="11"/>
      <c r="F571" s="12"/>
      <c r="G571" s="13" t="s">
        <v>96</v>
      </c>
    </row>
    <row r="572" spans="1:12" ht="18.95" customHeight="1" thickTop="1">
      <c r="A572" s="89"/>
      <c r="B572" s="89"/>
      <c r="C572" s="89"/>
      <c r="D572" s="92"/>
      <c r="E572" s="93" t="s">
        <v>31</v>
      </c>
      <c r="F572" s="94"/>
      <c r="G572" s="89"/>
      <c r="J572" s="75"/>
      <c r="K572" s="30"/>
      <c r="L572" s="31"/>
    </row>
    <row r="573" spans="1:12" ht="18.95" customHeight="1">
      <c r="A573" s="75">
        <f>11819940+7000</f>
        <v>11826940</v>
      </c>
      <c r="B573" s="75"/>
      <c r="C573" s="75">
        <f>SUM(A573)</f>
        <v>11826940</v>
      </c>
      <c r="D573" s="32">
        <f>252411+99150+101924+112368+101386+109186+141828</f>
        <v>918253</v>
      </c>
      <c r="E573" s="95" t="s">
        <v>99</v>
      </c>
      <c r="F573" s="17" t="s">
        <v>258</v>
      </c>
      <c r="G573" s="32">
        <v>141828</v>
      </c>
      <c r="J573" s="30">
        <f>SUM(A573)</f>
        <v>11826940</v>
      </c>
      <c r="K573" s="30"/>
      <c r="L573" s="31"/>
    </row>
    <row r="574" spans="1:12" ht="18.95" customHeight="1">
      <c r="A574" s="75">
        <v>2311920</v>
      </c>
      <c r="B574" s="75"/>
      <c r="C574" s="75">
        <f t="shared" ref="C574:C583" si="9">SUM(A574)</f>
        <v>2311920</v>
      </c>
      <c r="D574" s="32">
        <f>185460+185460+185460+185460+185460+185460+185460</f>
        <v>1298220</v>
      </c>
      <c r="E574" s="96" t="s">
        <v>100</v>
      </c>
      <c r="F574" s="17" t="s">
        <v>259</v>
      </c>
      <c r="G574" s="32">
        <v>185460</v>
      </c>
      <c r="J574" s="79"/>
      <c r="K574" s="30"/>
      <c r="L574" s="31"/>
    </row>
    <row r="575" spans="1:12" ht="18.95" customHeight="1">
      <c r="A575" s="75">
        <f>4208100+2188860+950340+1571400+1293060-50000-50000-150000-7000-100000-50000-100000</f>
        <v>9704760</v>
      </c>
      <c r="B575" s="75"/>
      <c r="C575" s="75">
        <f t="shared" si="9"/>
        <v>9704760</v>
      </c>
      <c r="D575" s="32">
        <f>614934+624105+619579+600820+600820+600820+609380</f>
        <v>4270458</v>
      </c>
      <c r="E575" s="96" t="s">
        <v>101</v>
      </c>
      <c r="F575" s="17" t="s">
        <v>260</v>
      </c>
      <c r="G575" s="32">
        <v>609380</v>
      </c>
      <c r="J575" s="79">
        <f>SUM(A574:A575)</f>
        <v>12016680</v>
      </c>
      <c r="K575" s="30"/>
      <c r="L575" s="31"/>
    </row>
    <row r="576" spans="1:12" ht="18.95" customHeight="1">
      <c r="A576" s="75">
        <f>375160+190000+100000+23000+65000+40000</f>
        <v>793160</v>
      </c>
      <c r="B576" s="75"/>
      <c r="C576" s="75">
        <f t="shared" si="9"/>
        <v>793160</v>
      </c>
      <c r="D576" s="32">
        <f>7530+15764+5430+30030+49230+25430+79280</f>
        <v>212694</v>
      </c>
      <c r="E576" s="96" t="s">
        <v>83</v>
      </c>
      <c r="F576" s="17" t="s">
        <v>261</v>
      </c>
      <c r="G576" s="32">
        <v>79280</v>
      </c>
      <c r="J576" s="30"/>
      <c r="K576" s="30"/>
      <c r="L576" s="31"/>
    </row>
    <row r="577" spans="1:12" ht="18.95" customHeight="1">
      <c r="A577" s="75">
        <f>855000+570000+60000+20000+39800+20000+90000+50000+265000+65000+770280+290000+80000+100000+396000+50000+50000-500000+500000+150000+100000+50000+100000-70000+70000</f>
        <v>4171080</v>
      </c>
      <c r="B577" s="75"/>
      <c r="C577" s="75">
        <f t="shared" si="9"/>
        <v>4171080</v>
      </c>
      <c r="D577" s="32">
        <f>31920+280268+334687.16+59809+86918.51+177696+638099</f>
        <v>1609397.67</v>
      </c>
      <c r="E577" s="96" t="s">
        <v>84</v>
      </c>
      <c r="F577" s="17" t="s">
        <v>262</v>
      </c>
      <c r="G577" s="32">
        <v>634589</v>
      </c>
      <c r="J577" s="30"/>
      <c r="K577" s="30"/>
      <c r="L577" s="31"/>
    </row>
    <row r="578" spans="1:12" ht="18.95" customHeight="1">
      <c r="A578" s="75">
        <f>395000+80000+20000+15000+125500+20000+50000+869840+60000+50000</f>
        <v>1685340</v>
      </c>
      <c r="B578" s="75"/>
      <c r="C578" s="75">
        <f t="shared" si="9"/>
        <v>1685340</v>
      </c>
      <c r="D578" s="32">
        <f>8100+78208.44+21820.9+74094.42+241331.86+5150+145432.86</f>
        <v>574138.48</v>
      </c>
      <c r="E578" s="95" t="s">
        <v>85</v>
      </c>
      <c r="F578" s="17" t="s">
        <v>263</v>
      </c>
      <c r="G578" s="32">
        <v>148942.85999999999</v>
      </c>
      <c r="J578" s="79"/>
      <c r="K578" s="30"/>
      <c r="L578" s="31"/>
    </row>
    <row r="579" spans="1:12" ht="18.95" customHeight="1">
      <c r="A579" s="75">
        <f>360000+10000+8000</f>
        <v>378000</v>
      </c>
      <c r="B579" s="75"/>
      <c r="C579" s="75">
        <f t="shared" si="9"/>
        <v>378000</v>
      </c>
      <c r="D579" s="32">
        <f>13206.98+26442.49+12618.58+12248.48+21134.41+17133.56+25417.42</f>
        <v>128201.92</v>
      </c>
      <c r="E579" s="95" t="s">
        <v>86</v>
      </c>
      <c r="F579" s="17" t="s">
        <v>264</v>
      </c>
      <c r="G579" s="32">
        <v>25417.42</v>
      </c>
      <c r="J579" s="30">
        <f>SUM(A576:A579)</f>
        <v>7027580</v>
      </c>
      <c r="K579" s="30"/>
      <c r="L579" s="31"/>
    </row>
    <row r="580" spans="1:12" ht="18.95" customHeight="1">
      <c r="A580" s="75">
        <f>108000+15000+87900</f>
        <v>210900</v>
      </c>
      <c r="B580" s="75"/>
      <c r="C580" s="75">
        <f t="shared" si="9"/>
        <v>210900</v>
      </c>
      <c r="D580" s="32">
        <v>0</v>
      </c>
      <c r="E580" s="95" t="s">
        <v>36</v>
      </c>
      <c r="F580" s="17" t="s">
        <v>265</v>
      </c>
      <c r="G580" s="32">
        <v>0</v>
      </c>
      <c r="I580" s="3">
        <f>SUM(A580:A581)</f>
        <v>3284700</v>
      </c>
      <c r="J580" s="30"/>
      <c r="K580" s="30"/>
      <c r="L580" s="31"/>
    </row>
    <row r="581" spans="1:12" ht="18.95" customHeight="1">
      <c r="A581" s="75">
        <f>50000+3023800</f>
        <v>3073800</v>
      </c>
      <c r="B581" s="75"/>
      <c r="C581" s="75">
        <f t="shared" si="9"/>
        <v>3073800</v>
      </c>
      <c r="D581" s="32">
        <v>0</v>
      </c>
      <c r="E581" s="95" t="s">
        <v>37</v>
      </c>
      <c r="F581" s="17" t="s">
        <v>266</v>
      </c>
      <c r="G581" s="32">
        <v>0</v>
      </c>
      <c r="J581" s="30">
        <f>SUM(A580:A581)</f>
        <v>3284700</v>
      </c>
      <c r="K581" s="30"/>
      <c r="L581" s="31"/>
    </row>
    <row r="582" spans="1:12" ht="18.95" customHeight="1" thickBot="1">
      <c r="A582" s="75">
        <f>25000</f>
        <v>25000</v>
      </c>
      <c r="B582" s="101"/>
      <c r="C582" s="75">
        <f t="shared" si="9"/>
        <v>25000</v>
      </c>
      <c r="D582" s="32">
        <v>0</v>
      </c>
      <c r="E582" s="95" t="s">
        <v>102</v>
      </c>
      <c r="F582" s="17" t="s">
        <v>267</v>
      </c>
      <c r="G582" s="32">
        <v>0</v>
      </c>
      <c r="I582" s="102">
        <f>SUM(G573:G583)</f>
        <v>1824897.2799999998</v>
      </c>
      <c r="J582" s="30">
        <f>SUM(A582)</f>
        <v>25000</v>
      </c>
      <c r="K582" s="30"/>
      <c r="L582" s="31"/>
    </row>
    <row r="583" spans="1:12" ht="18.95" customHeight="1" thickTop="1">
      <c r="A583" s="75">
        <f>180000+1288000+351100</f>
        <v>1819100</v>
      </c>
      <c r="B583" s="101"/>
      <c r="C583" s="75">
        <f t="shared" si="9"/>
        <v>1819100</v>
      </c>
      <c r="D583" s="24">
        <f>322000+297000+26000</f>
        <v>645000</v>
      </c>
      <c r="E583" s="170" t="s">
        <v>89</v>
      </c>
      <c r="F583" s="27" t="s">
        <v>268</v>
      </c>
      <c r="G583" s="24">
        <v>0</v>
      </c>
      <c r="J583" s="30">
        <f>SUM(A583)</f>
        <v>1819100</v>
      </c>
      <c r="K583" s="30"/>
      <c r="L583" s="31"/>
    </row>
    <row r="584" spans="1:12" s="110" customFormat="1" ht="18.95" customHeight="1" thickBot="1">
      <c r="A584" s="244">
        <f>SUM(A573:A583)</f>
        <v>36000000</v>
      </c>
      <c r="B584" s="244">
        <f>SUM(B573:B583)</f>
        <v>0</v>
      </c>
      <c r="C584" s="244">
        <f>SUM(C573:C583)</f>
        <v>36000000</v>
      </c>
      <c r="D584" s="175">
        <f>SUM(D573:D583)</f>
        <v>9656363.0700000003</v>
      </c>
      <c r="E584" s="254"/>
      <c r="F584" s="178"/>
      <c r="G584" s="244">
        <f>SUM(G573:G583)</f>
        <v>1824897.2799999998</v>
      </c>
      <c r="I584" s="111"/>
      <c r="J584" s="36">
        <f>SUM(J573:J583)</f>
        <v>36000000</v>
      </c>
      <c r="K584" s="36"/>
      <c r="L584" s="131"/>
    </row>
    <row r="585" spans="1:12" ht="18.95" customHeight="1" thickTop="1">
      <c r="A585" s="171"/>
      <c r="B585" s="171"/>
      <c r="C585" s="171"/>
      <c r="D585" s="23">
        <f>810700+846044+833348+831016+978328+824224+833600</f>
        <v>5957260</v>
      </c>
      <c r="E585" s="21" t="s">
        <v>179</v>
      </c>
      <c r="F585" s="20" t="s">
        <v>256</v>
      </c>
      <c r="G585" s="172">
        <f>563600+241600+1500+26900</f>
        <v>833600</v>
      </c>
      <c r="J585" s="30"/>
      <c r="K585" s="30"/>
      <c r="L585" s="31"/>
    </row>
    <row r="586" spans="1:12" ht="18.95" customHeight="1">
      <c r="A586" s="75"/>
      <c r="B586" s="32"/>
      <c r="C586" s="75"/>
      <c r="D586" s="26">
        <f>1186831.48+650000+521617+1236675.86+2712000+148000</f>
        <v>6455124.3399999999</v>
      </c>
      <c r="E586" s="15" t="s">
        <v>180</v>
      </c>
      <c r="F586" s="25">
        <v>21010000</v>
      </c>
      <c r="G586" s="32">
        <v>0</v>
      </c>
      <c r="I586" s="98"/>
      <c r="J586" s="30"/>
      <c r="K586" s="30"/>
      <c r="L586" s="31"/>
    </row>
    <row r="587" spans="1:12" ht="18.95" customHeight="1">
      <c r="A587" s="75"/>
      <c r="B587" s="126"/>
      <c r="C587" s="75"/>
      <c r="D587" s="26">
        <f>84067.88+20590.73+35465.17+231673.27+68737.59+28386.6</f>
        <v>468921.24</v>
      </c>
      <c r="E587" s="15" t="s">
        <v>241</v>
      </c>
      <c r="F587" s="17" t="s">
        <v>254</v>
      </c>
      <c r="G587" s="32">
        <f>4216.6+10730+9950+200+3290</f>
        <v>28386.6</v>
      </c>
      <c r="J587" s="30"/>
      <c r="K587" s="30"/>
      <c r="L587" s="31"/>
    </row>
    <row r="588" spans="1:12" ht="18.95" customHeight="1">
      <c r="A588" s="75"/>
      <c r="B588" s="126"/>
      <c r="C588" s="75"/>
      <c r="D588" s="26">
        <v>2814000</v>
      </c>
      <c r="E588" s="15" t="s">
        <v>29</v>
      </c>
      <c r="F588" s="17" t="s">
        <v>340</v>
      </c>
      <c r="G588" s="32">
        <v>2814000</v>
      </c>
      <c r="J588" s="30"/>
      <c r="K588" s="30"/>
      <c r="L588" s="31"/>
    </row>
    <row r="589" spans="1:12" ht="18.95" customHeight="1">
      <c r="A589" s="75"/>
      <c r="B589" s="24"/>
      <c r="C589" s="75"/>
      <c r="D589" s="26"/>
      <c r="E589" s="15"/>
      <c r="F589" s="25"/>
      <c r="G589" s="32"/>
      <c r="I589" s="98"/>
      <c r="J589" s="30"/>
      <c r="K589" s="30"/>
      <c r="L589" s="31"/>
    </row>
    <row r="590" spans="1:12" ht="18.95" customHeight="1">
      <c r="A590" s="75"/>
      <c r="B590" s="32"/>
      <c r="C590" s="75"/>
      <c r="D590" s="26"/>
      <c r="E590" s="15"/>
      <c r="F590" s="25"/>
      <c r="G590" s="32"/>
      <c r="I590" s="98"/>
      <c r="J590" s="30"/>
      <c r="K590" s="30"/>
      <c r="L590" s="31"/>
    </row>
    <row r="591" spans="1:12" ht="18.95" customHeight="1">
      <c r="A591" s="14"/>
      <c r="B591" s="127"/>
      <c r="C591" s="127"/>
      <c r="D591" s="26">
        <v>0</v>
      </c>
      <c r="E591" s="128"/>
      <c r="F591" s="17"/>
      <c r="G591" s="32">
        <v>0</v>
      </c>
    </row>
    <row r="592" spans="1:12" ht="18.95" customHeight="1">
      <c r="A592" s="14"/>
      <c r="B592" s="127"/>
      <c r="C592" s="127"/>
      <c r="D592" s="26">
        <v>0</v>
      </c>
      <c r="E592" s="128"/>
      <c r="F592" s="17"/>
      <c r="G592" s="32">
        <v>0</v>
      </c>
    </row>
    <row r="593" spans="1:12" ht="18.95" customHeight="1">
      <c r="A593" s="14"/>
      <c r="B593" s="127"/>
      <c r="C593" s="127"/>
      <c r="D593" s="26">
        <v>0</v>
      </c>
      <c r="E593" s="128"/>
      <c r="F593" s="17"/>
      <c r="G593" s="32">
        <v>0</v>
      </c>
    </row>
    <row r="594" spans="1:12" ht="18.95" customHeight="1">
      <c r="A594" s="14"/>
      <c r="B594" s="127"/>
      <c r="C594" s="127"/>
      <c r="D594" s="26">
        <v>0</v>
      </c>
      <c r="E594" s="105"/>
      <c r="F594" s="17"/>
      <c r="G594" s="32">
        <v>0</v>
      </c>
    </row>
    <row r="595" spans="1:12" ht="18.95" customHeight="1">
      <c r="A595" s="123"/>
      <c r="B595" s="22"/>
      <c r="C595" s="22"/>
      <c r="D595" s="26">
        <v>0</v>
      </c>
      <c r="E595" s="133"/>
      <c r="F595" s="20"/>
      <c r="G595" s="19">
        <v>0</v>
      </c>
    </row>
    <row r="596" spans="1:12" ht="27" customHeight="1" thickBot="1">
      <c r="A596" s="179"/>
      <c r="B596" s="179"/>
      <c r="C596" s="179"/>
      <c r="D596" s="175">
        <f>SUM(D584:D595)</f>
        <v>25351668.649999999</v>
      </c>
      <c r="E596" s="180" t="s">
        <v>32</v>
      </c>
      <c r="F596" s="181"/>
      <c r="G596" s="182">
        <f>SUM(G584+G585+G586+G587+G588+G589+G590+G591)</f>
        <v>5500883.8799999999</v>
      </c>
      <c r="J596" s="30"/>
      <c r="K596" s="30"/>
      <c r="L596" s="31"/>
    </row>
    <row r="597" spans="1:12" ht="22.5" customHeight="1" thickTop="1">
      <c r="A597" s="87"/>
      <c r="B597" s="87"/>
      <c r="C597" s="87"/>
      <c r="D597" s="99">
        <f>SUM(D556-D596)</f>
        <v>1874050.7100000009</v>
      </c>
      <c r="E597" s="107" t="s">
        <v>38</v>
      </c>
      <c r="F597" s="108"/>
      <c r="G597" s="100"/>
    </row>
    <row r="598" spans="1:12" ht="20.25" customHeight="1">
      <c r="A598" s="87"/>
      <c r="B598" s="87"/>
      <c r="C598" s="22"/>
      <c r="D598" s="26"/>
      <c r="E598" s="70" t="s">
        <v>187</v>
      </c>
      <c r="F598" s="108"/>
      <c r="G598" s="32"/>
    </row>
    <row r="599" spans="1:12" ht="21" customHeight="1">
      <c r="A599" s="42"/>
      <c r="B599" s="42"/>
      <c r="C599" s="97"/>
      <c r="D599" s="100"/>
      <c r="E599" s="107" t="s">
        <v>103</v>
      </c>
      <c r="F599" s="108"/>
      <c r="G599" s="100">
        <f>SUM(G556-G596)</f>
        <v>-1899266.8200000003</v>
      </c>
    </row>
    <row r="600" spans="1:12" ht="21" customHeight="1" thickBot="1">
      <c r="A600" s="87"/>
      <c r="B600" s="87"/>
      <c r="C600" s="22"/>
      <c r="D600" s="34">
        <f>SUM(D532+D597)</f>
        <v>22837048.18</v>
      </c>
      <c r="E600" s="107" t="s">
        <v>104</v>
      </c>
      <c r="F600" s="108"/>
      <c r="G600" s="34">
        <f>SUM(G532+G599)</f>
        <v>22837048.18</v>
      </c>
      <c r="I600" s="187">
        <v>24729429</v>
      </c>
      <c r="J600" s="3">
        <f>SUM(G600-I600)</f>
        <v>-1892380.8200000003</v>
      </c>
      <c r="K600" s="3">
        <f>SUM(I600-I603)</f>
        <v>-526713.62999999896</v>
      </c>
    </row>
    <row r="601" spans="1:12" ht="5.25" customHeight="1" thickTop="1">
      <c r="A601" s="87"/>
      <c r="B601" s="87"/>
      <c r="C601" s="87"/>
      <c r="D601" s="74"/>
      <c r="E601" s="290"/>
      <c r="F601" s="88"/>
      <c r="G601" s="78"/>
    </row>
    <row r="602" spans="1:12" ht="18.95" customHeight="1">
      <c r="A602" s="87" t="s">
        <v>19</v>
      </c>
      <c r="B602" s="87"/>
      <c r="C602" s="87"/>
      <c r="D602" s="74"/>
      <c r="E602" s="290"/>
      <c r="F602" s="88"/>
      <c r="G602" s="78"/>
    </row>
    <row r="603" spans="1:12" ht="20.25" customHeight="1">
      <c r="A603" s="87" t="s">
        <v>341</v>
      </c>
      <c r="B603" s="87"/>
      <c r="C603" s="87"/>
      <c r="D603" s="74"/>
      <c r="E603" s="290"/>
      <c r="F603" s="88"/>
      <c r="G603" s="78"/>
      <c r="I603" s="3">
        <v>25256142.629999999</v>
      </c>
    </row>
    <row r="604" spans="1:12" ht="20.25" customHeight="1">
      <c r="A604" s="87"/>
      <c r="B604" s="87"/>
      <c r="C604" s="87"/>
      <c r="D604" s="74"/>
      <c r="E604" s="290"/>
      <c r="F604" s="88"/>
      <c r="G604" s="78"/>
      <c r="I604" s="3">
        <v>1102</v>
      </c>
      <c r="J604" s="3">
        <f>SUM(I603-G600)</f>
        <v>2419094.4499999993</v>
      </c>
    </row>
    <row r="605" spans="1:12" ht="21" customHeight="1">
      <c r="A605" s="87" t="s">
        <v>79</v>
      </c>
      <c r="B605" s="87"/>
      <c r="C605" s="87"/>
      <c r="D605" s="30"/>
      <c r="E605" s="77"/>
      <c r="F605" s="88"/>
      <c r="G605" s="42"/>
    </row>
    <row r="606" spans="1:12" ht="21" customHeight="1">
      <c r="A606" s="87"/>
      <c r="B606" s="87"/>
      <c r="C606" s="87"/>
      <c r="D606" s="30"/>
      <c r="E606" s="77"/>
      <c r="F606" s="88"/>
      <c r="G606" s="42"/>
    </row>
    <row r="607" spans="1:12" ht="23.25" customHeight="1">
      <c r="A607" s="87" t="s">
        <v>190</v>
      </c>
      <c r="B607" s="87"/>
      <c r="C607" s="87"/>
      <c r="D607" s="74"/>
      <c r="E607" s="290"/>
      <c r="F607" s="88"/>
      <c r="G607" s="78"/>
    </row>
    <row r="608" spans="1:12" ht="18.95" customHeight="1">
      <c r="A608" s="87" t="s">
        <v>186</v>
      </c>
      <c r="B608" s="87"/>
      <c r="C608" s="87"/>
      <c r="D608" s="74"/>
      <c r="E608" s="290"/>
      <c r="F608" s="88"/>
      <c r="G608" s="78"/>
    </row>
    <row r="611" spans="1:11" ht="18.95" customHeight="1">
      <c r="A611" s="303" t="s">
        <v>20</v>
      </c>
      <c r="B611" s="303"/>
      <c r="C611" s="303"/>
      <c r="D611" s="303"/>
      <c r="E611" s="303"/>
      <c r="F611" s="303"/>
      <c r="G611" s="303"/>
    </row>
    <row r="612" spans="1:11" ht="18.95" customHeight="1">
      <c r="A612" s="303" t="s">
        <v>92</v>
      </c>
      <c r="B612" s="303"/>
      <c r="C612" s="303"/>
      <c r="D612" s="303"/>
      <c r="E612" s="303"/>
      <c r="F612" s="303"/>
      <c r="G612" s="303"/>
    </row>
    <row r="613" spans="1:11" ht="18.95" customHeight="1">
      <c r="A613" s="303" t="s">
        <v>354</v>
      </c>
      <c r="B613" s="303"/>
      <c r="C613" s="303"/>
      <c r="D613" s="303"/>
      <c r="E613" s="303"/>
      <c r="F613" s="303"/>
      <c r="G613" s="303"/>
    </row>
    <row r="614" spans="1:11" ht="18.95" customHeight="1" thickBot="1">
      <c r="A614" s="304"/>
      <c r="B614" s="304"/>
      <c r="C614" s="304"/>
      <c r="D614" s="304"/>
      <c r="E614" s="304"/>
      <c r="F614" s="304"/>
      <c r="G614" s="304"/>
    </row>
    <row r="615" spans="1:11" ht="18.95" customHeight="1" thickTop="1" thickBot="1">
      <c r="A615" s="300" t="s">
        <v>6</v>
      </c>
      <c r="B615" s="301"/>
      <c r="C615" s="301"/>
      <c r="D615" s="302"/>
      <c r="E615" s="4"/>
      <c r="F615" s="5" t="s">
        <v>16</v>
      </c>
      <c r="G615" s="125" t="s">
        <v>26</v>
      </c>
    </row>
    <row r="616" spans="1:11" ht="18.95" customHeight="1" thickTop="1">
      <c r="A616" s="118" t="s">
        <v>1</v>
      </c>
      <c r="B616" s="114" t="s">
        <v>93</v>
      </c>
      <c r="C616" s="114" t="s">
        <v>97</v>
      </c>
      <c r="D616" s="6" t="s">
        <v>7</v>
      </c>
      <c r="E616" s="4" t="s">
        <v>8</v>
      </c>
      <c r="F616" s="8" t="s">
        <v>17</v>
      </c>
      <c r="G616" s="115" t="s">
        <v>18</v>
      </c>
    </row>
    <row r="617" spans="1:11" ht="18.95" customHeight="1">
      <c r="A617" s="119" t="s">
        <v>96</v>
      </c>
      <c r="B617" s="9" t="s">
        <v>94</v>
      </c>
      <c r="C617" s="9" t="s">
        <v>96</v>
      </c>
      <c r="D617" s="116" t="s">
        <v>96</v>
      </c>
      <c r="E617" s="7"/>
      <c r="F617" s="8"/>
      <c r="G617" s="115" t="s">
        <v>98</v>
      </c>
    </row>
    <row r="618" spans="1:11" ht="18.95" customHeight="1" thickBot="1">
      <c r="A618" s="117"/>
      <c r="B618" s="13" t="s">
        <v>95</v>
      </c>
      <c r="C618" s="10"/>
      <c r="D618" s="296"/>
      <c r="E618" s="11"/>
      <c r="F618" s="12"/>
      <c r="G618" s="13" t="s">
        <v>96</v>
      </c>
    </row>
    <row r="619" spans="1:11" s="150" customFormat="1" ht="18.95" customHeight="1" thickTop="1" thickBot="1">
      <c r="A619" s="149"/>
      <c r="B619" s="149"/>
      <c r="C619" s="149"/>
      <c r="D619" s="154">
        <f>20962997.47</f>
        <v>20962997.469999999</v>
      </c>
      <c r="E619" s="152" t="s">
        <v>3</v>
      </c>
      <c r="F619" s="153"/>
      <c r="G619" s="34">
        <f>SUM(G600)</f>
        <v>22837048.18</v>
      </c>
      <c r="I619" s="151"/>
      <c r="J619" s="151"/>
      <c r="K619" s="151"/>
    </row>
    <row r="620" spans="1:11" ht="18.95" customHeight="1" thickTop="1">
      <c r="A620" s="14"/>
      <c r="B620" s="14"/>
      <c r="C620" s="14"/>
      <c r="D620" s="15"/>
      <c r="E620" s="16" t="s">
        <v>68</v>
      </c>
      <c r="F620" s="17"/>
      <c r="G620" s="14"/>
    </row>
    <row r="621" spans="1:11" s="110" customFormat="1" ht="18.95" customHeight="1">
      <c r="A621" s="255">
        <f>C621</f>
        <v>186000</v>
      </c>
      <c r="B621" s="32"/>
      <c r="C621" s="255">
        <v>186000</v>
      </c>
      <c r="D621" s="32">
        <f>497.26+4449.04+41526.04+59188.86+43500.24+3233.48</f>
        <v>152394.92000000001</v>
      </c>
      <c r="E621" s="15" t="s">
        <v>9</v>
      </c>
      <c r="F621" s="121" t="s">
        <v>246</v>
      </c>
      <c r="G621" s="32">
        <f>1078+1543.48+612</f>
        <v>3233.48</v>
      </c>
      <c r="I621" s="111"/>
      <c r="J621" s="111"/>
      <c r="K621" s="111"/>
    </row>
    <row r="622" spans="1:11" s="110" customFormat="1" ht="18.95" customHeight="1">
      <c r="A622" s="255">
        <f>C622</f>
        <v>113500</v>
      </c>
      <c r="B622" s="32"/>
      <c r="C622" s="255">
        <v>113500</v>
      </c>
      <c r="D622" s="32">
        <f>55+20+200+50+11562+3290+1976+15891+18427+6121+1986</f>
        <v>59578</v>
      </c>
      <c r="E622" s="15" t="s">
        <v>10</v>
      </c>
      <c r="F622" s="121" t="s">
        <v>247</v>
      </c>
      <c r="G622" s="32">
        <f>154+20+700+720+100+100+192</f>
        <v>1986</v>
      </c>
      <c r="I622" s="111"/>
      <c r="J622" s="111"/>
      <c r="K622" s="111"/>
    </row>
    <row r="623" spans="1:11" s="110" customFormat="1" ht="18.95" customHeight="1">
      <c r="A623" s="255">
        <f>C623</f>
        <v>100000</v>
      </c>
      <c r="B623" s="32"/>
      <c r="C623" s="255">
        <v>100000</v>
      </c>
      <c r="D623" s="32">
        <f>53111.51+9626.17+5247.63</f>
        <v>67985.31</v>
      </c>
      <c r="E623" s="15" t="s">
        <v>11</v>
      </c>
      <c r="F623" s="121" t="s">
        <v>248</v>
      </c>
      <c r="G623" s="32">
        <v>0</v>
      </c>
      <c r="I623" s="111"/>
      <c r="J623" s="111"/>
      <c r="K623" s="111"/>
    </row>
    <row r="624" spans="1:11" s="110" customFormat="1" ht="18.95" customHeight="1">
      <c r="A624" s="255">
        <v>0</v>
      </c>
      <c r="B624" s="32"/>
      <c r="C624" s="255">
        <f>SUM(A624:B624)</f>
        <v>0</v>
      </c>
      <c r="D624" s="32">
        <v>0</v>
      </c>
      <c r="E624" s="15" t="s">
        <v>12</v>
      </c>
      <c r="F624" s="121" t="s">
        <v>249</v>
      </c>
      <c r="G624" s="32">
        <v>0</v>
      </c>
      <c r="I624" s="111"/>
      <c r="J624" s="111"/>
      <c r="K624" s="111"/>
    </row>
    <row r="625" spans="1:11" s="110" customFormat="1" ht="18.95" customHeight="1">
      <c r="A625" s="255">
        <f>C625</f>
        <v>10500</v>
      </c>
      <c r="B625" s="32"/>
      <c r="C625" s="255">
        <v>10500</v>
      </c>
      <c r="D625" s="32">
        <f>2000+296+28+15000+12800</f>
        <v>30124</v>
      </c>
      <c r="E625" s="15" t="s">
        <v>13</v>
      </c>
      <c r="F625" s="121" t="s">
        <v>250</v>
      </c>
      <c r="G625" s="32">
        <f>1500+11300</f>
        <v>12800</v>
      </c>
      <c r="I625" s="111"/>
      <c r="J625" s="111"/>
      <c r="K625" s="111"/>
    </row>
    <row r="626" spans="1:11" s="110" customFormat="1" ht="18.95" customHeight="1">
      <c r="A626" s="255">
        <v>0</v>
      </c>
      <c r="B626" s="32"/>
      <c r="C626" s="255">
        <f>SUM(A626:B626)</f>
        <v>0</v>
      </c>
      <c r="D626" s="32">
        <v>0</v>
      </c>
      <c r="E626" s="15" t="s">
        <v>14</v>
      </c>
      <c r="F626" s="121" t="s">
        <v>251</v>
      </c>
      <c r="G626" s="32">
        <v>0</v>
      </c>
      <c r="I626" s="111"/>
      <c r="J626" s="111"/>
      <c r="K626" s="111"/>
    </row>
    <row r="627" spans="1:11" s="110" customFormat="1" ht="18.95" customHeight="1">
      <c r="A627" s="255">
        <f>C627</f>
        <v>15590000</v>
      </c>
      <c r="B627" s="32"/>
      <c r="C627" s="255">
        <v>15590000</v>
      </c>
      <c r="D627" s="32">
        <f>807681.19+136065.98+375552.6+11585.92+44513+1553344.35+1529741.63+1204336.32+1597499.99+1507980.71+1556677.61+1475733.81</f>
        <v>11800713.110000001</v>
      </c>
      <c r="E627" s="15" t="s">
        <v>15</v>
      </c>
      <c r="F627" s="121" t="s">
        <v>252</v>
      </c>
      <c r="G627" s="32">
        <f>54273.82+745038.36+162471.98+9776.03+413855.79+10436.83+79881</f>
        <v>1475733.81</v>
      </c>
      <c r="I627" s="111"/>
      <c r="J627" s="111"/>
      <c r="K627" s="111"/>
    </row>
    <row r="628" spans="1:11" s="110" customFormat="1" ht="18.95" customHeight="1">
      <c r="A628" s="255">
        <v>20000000</v>
      </c>
      <c r="B628" s="32"/>
      <c r="C628" s="255">
        <f>SUM(A628:B628)</f>
        <v>20000000</v>
      </c>
      <c r="D628" s="32">
        <f>5566536+4689911+689000+1874406+1961640</f>
        <v>14781493</v>
      </c>
      <c r="E628" s="15" t="s">
        <v>52</v>
      </c>
      <c r="F628" s="121" t="s">
        <v>253</v>
      </c>
      <c r="G628" s="32">
        <v>1961640</v>
      </c>
      <c r="I628" s="111">
        <f>SUM(G621:G628)</f>
        <v>3455393.29</v>
      </c>
      <c r="J628" s="147">
        <f>SUM(D621:D628)</f>
        <v>26892288.340000004</v>
      </c>
      <c r="K628" s="147" t="s">
        <v>159</v>
      </c>
    </row>
    <row r="629" spans="1:11" s="110" customFormat="1" ht="18.95" customHeight="1">
      <c r="A629" s="256"/>
      <c r="B629" s="275">
        <v>40000</v>
      </c>
      <c r="C629" s="275">
        <v>40000</v>
      </c>
      <c r="D629" s="33">
        <v>40000</v>
      </c>
      <c r="E629" s="15" t="s">
        <v>338</v>
      </c>
      <c r="F629" s="162" t="s">
        <v>339</v>
      </c>
      <c r="G629" s="24">
        <v>0</v>
      </c>
      <c r="I629" s="111"/>
      <c r="J629" s="111"/>
      <c r="K629" s="111"/>
    </row>
    <row r="630" spans="1:11" s="156" customFormat="1" ht="18.95" customHeight="1" thickBot="1">
      <c r="A630" s="182">
        <f>SUM(A621:A629)</f>
        <v>36000000</v>
      </c>
      <c r="B630" s="182">
        <f>SUM(B621:B629)</f>
        <v>40000</v>
      </c>
      <c r="C630" s="182">
        <f>SUM(C621:C629)</f>
        <v>36040000</v>
      </c>
      <c r="D630" s="175">
        <f>SUM(D621:D629)</f>
        <v>26932288.340000004</v>
      </c>
      <c r="E630" s="258"/>
      <c r="F630" s="164"/>
      <c r="G630" s="175">
        <f>SUM(G621:G629)</f>
        <v>3455393.29</v>
      </c>
      <c r="I630" s="147"/>
      <c r="J630" s="147"/>
      <c r="K630" s="147"/>
    </row>
    <row r="631" spans="1:11" s="110" customFormat="1" ht="21.75" customHeight="1" thickTop="1">
      <c r="A631" s="259"/>
      <c r="B631" s="23"/>
      <c r="C631" s="260"/>
      <c r="D631" s="23">
        <f>40510.97+38103.17+23622.23+103996.55+45863.32+80212.21+78016.55</f>
        <v>410325</v>
      </c>
      <c r="E631" s="15" t="s">
        <v>162</v>
      </c>
      <c r="F631" s="17" t="s">
        <v>254</v>
      </c>
      <c r="G631" s="24">
        <f>98.52+55335+7537.03+1000+10756+3290</f>
        <v>78016.549999999988</v>
      </c>
      <c r="I631" s="111"/>
      <c r="J631" s="111"/>
      <c r="K631" s="111"/>
    </row>
    <row r="632" spans="1:11" s="110" customFormat="1" ht="18.95" customHeight="1">
      <c r="A632" s="14"/>
      <c r="B632" s="14"/>
      <c r="C632" s="14"/>
      <c r="D632" s="24">
        <f>873675.86+2534000</f>
        <v>3407675.86</v>
      </c>
      <c r="E632" s="15" t="s">
        <v>137</v>
      </c>
      <c r="F632" s="17" t="s">
        <v>255</v>
      </c>
      <c r="G632" s="24">
        <v>0</v>
      </c>
      <c r="I632" s="111"/>
      <c r="J632" s="111"/>
      <c r="K632" s="111"/>
    </row>
    <row r="633" spans="1:11" s="110" customFormat="1" ht="18.95" customHeight="1">
      <c r="A633" s="32"/>
      <c r="B633" s="32"/>
      <c r="C633" s="32"/>
      <c r="D633" s="26">
        <f>600+800+700</f>
        <v>2100</v>
      </c>
      <c r="E633" s="173" t="s">
        <v>189</v>
      </c>
      <c r="F633" s="17" t="s">
        <v>256</v>
      </c>
      <c r="G633" s="24">
        <v>0</v>
      </c>
      <c r="I633" s="111"/>
      <c r="J633" s="111"/>
      <c r="K633" s="111"/>
    </row>
    <row r="634" spans="1:11" s="110" customFormat="1" ht="18.95" customHeight="1">
      <c r="A634" s="14"/>
      <c r="B634" s="14"/>
      <c r="C634" s="14"/>
      <c r="D634" s="26">
        <f>4000+940</f>
        <v>4940</v>
      </c>
      <c r="E634" s="15" t="s">
        <v>291</v>
      </c>
      <c r="F634" s="17" t="s">
        <v>256</v>
      </c>
      <c r="G634" s="32">
        <v>0</v>
      </c>
      <c r="I634" s="111"/>
      <c r="J634" s="111"/>
      <c r="K634" s="111"/>
    </row>
    <row r="635" spans="1:11" s="110" customFormat="1" ht="18.95" customHeight="1">
      <c r="A635" s="14"/>
      <c r="B635" s="14"/>
      <c r="C635" s="14"/>
      <c r="D635" s="37">
        <f>1200+600</f>
        <v>1800</v>
      </c>
      <c r="E635" s="15" t="s">
        <v>99</v>
      </c>
      <c r="F635" s="17" t="s">
        <v>258</v>
      </c>
      <c r="G635" s="24">
        <v>0</v>
      </c>
      <c r="I635" s="111"/>
      <c r="J635" s="111"/>
      <c r="K635" s="111"/>
    </row>
    <row r="636" spans="1:11" s="110" customFormat="1" ht="18.95" customHeight="1">
      <c r="A636" s="14"/>
      <c r="B636" s="14"/>
      <c r="C636" s="14"/>
      <c r="D636" s="23"/>
      <c r="E636" s="15"/>
      <c r="F636" s="17"/>
      <c r="G636" s="32"/>
      <c r="I636" s="111"/>
      <c r="J636" s="111"/>
      <c r="K636" s="111"/>
    </row>
    <row r="637" spans="1:11" s="110" customFormat="1" ht="18.95" customHeight="1">
      <c r="A637" s="14"/>
      <c r="B637" s="14"/>
      <c r="C637" s="14"/>
      <c r="D637" s="23"/>
      <c r="E637" s="15"/>
      <c r="F637" s="17"/>
      <c r="G637" s="32"/>
      <c r="I637" s="111"/>
      <c r="J637" s="111"/>
      <c r="K637" s="111"/>
    </row>
    <row r="638" spans="1:11" s="110" customFormat="1" ht="18.95" customHeight="1">
      <c r="A638" s="14"/>
      <c r="B638" s="14"/>
      <c r="C638" s="14"/>
      <c r="D638" s="23"/>
      <c r="E638" s="15"/>
      <c r="F638" s="17"/>
      <c r="G638" s="32"/>
      <c r="I638" s="111"/>
      <c r="J638" s="111"/>
      <c r="K638" s="111"/>
    </row>
    <row r="639" spans="1:11" s="110" customFormat="1" ht="18.95" customHeight="1">
      <c r="A639" s="14"/>
      <c r="B639" s="14"/>
      <c r="C639" s="14"/>
      <c r="D639" s="23"/>
      <c r="E639" s="15"/>
      <c r="F639" s="17"/>
      <c r="G639" s="32"/>
      <c r="I639" s="111"/>
      <c r="J639" s="111"/>
      <c r="K639" s="111"/>
    </row>
    <row r="640" spans="1:11" ht="18.95" customHeight="1">
      <c r="A640" s="14"/>
      <c r="B640" s="14"/>
      <c r="C640" s="14"/>
      <c r="D640" s="23"/>
      <c r="E640" s="15"/>
      <c r="F640" s="17"/>
      <c r="G640" s="32"/>
    </row>
    <row r="641" spans="1:12" ht="18.95" customHeight="1">
      <c r="A641" s="14"/>
      <c r="B641" s="14"/>
      <c r="C641" s="14"/>
      <c r="D641" s="91"/>
      <c r="E641" s="15"/>
      <c r="F641" s="17"/>
      <c r="G641" s="32"/>
    </row>
    <row r="642" spans="1:12" ht="18.95" customHeight="1">
      <c r="A642" s="73"/>
      <c r="B642" s="22"/>
      <c r="C642" s="22"/>
      <c r="D642" s="35"/>
      <c r="E642" s="28"/>
      <c r="F642" s="20"/>
      <c r="G642" s="19"/>
    </row>
    <row r="643" spans="1:12" s="110" customFormat="1" ht="18.95" customHeight="1">
      <c r="A643" s="179"/>
      <c r="B643" s="179"/>
      <c r="C643" s="179"/>
      <c r="D643" s="66">
        <f>SUM(D630:D642)</f>
        <v>30759129.200000003</v>
      </c>
      <c r="E643" s="72" t="s">
        <v>4</v>
      </c>
      <c r="F643" s="261"/>
      <c r="G643" s="262">
        <f>SUM(G630:G642)</f>
        <v>3533409.84</v>
      </c>
      <c r="I643" s="111"/>
      <c r="J643" s="111"/>
      <c r="K643" s="111"/>
    </row>
    <row r="644" spans="1:12" ht="18.95" customHeight="1">
      <c r="A644" s="87"/>
      <c r="B644" s="87"/>
      <c r="C644" s="87"/>
      <c r="D644" s="106"/>
      <c r="E644" s="297"/>
      <c r="F644" s="88"/>
      <c r="G644" s="78"/>
      <c r="J644" s="30"/>
      <c r="K644" s="30"/>
      <c r="L644" s="31"/>
    </row>
    <row r="645" spans="1:12" ht="18.95" customHeight="1">
      <c r="A645" s="87"/>
      <c r="B645" s="87"/>
      <c r="C645" s="87"/>
      <c r="D645" s="106"/>
      <c r="E645" s="297"/>
      <c r="F645" s="88"/>
      <c r="G645" s="78"/>
      <c r="J645" s="30"/>
      <c r="K645" s="30"/>
      <c r="L645" s="31"/>
    </row>
    <row r="646" spans="1:12" ht="18.95" customHeight="1">
      <c r="A646" s="87"/>
      <c r="B646" s="87"/>
      <c r="C646" s="87"/>
      <c r="D646" s="106"/>
      <c r="E646" s="297"/>
      <c r="F646" s="88"/>
      <c r="G646" s="78"/>
      <c r="J646" s="30"/>
      <c r="K646" s="30"/>
      <c r="L646" s="31"/>
    </row>
    <row r="647" spans="1:12" ht="18.95" customHeight="1">
      <c r="A647" s="87"/>
      <c r="B647" s="87"/>
      <c r="C647" s="87"/>
      <c r="D647" s="106"/>
      <c r="E647" s="297"/>
      <c r="F647" s="88"/>
      <c r="G647" s="78"/>
      <c r="J647" s="30"/>
      <c r="K647" s="30"/>
      <c r="L647" s="31"/>
    </row>
    <row r="648" spans="1:12" ht="18.95" customHeight="1">
      <c r="A648" s="87"/>
      <c r="B648" s="87"/>
      <c r="C648" s="87"/>
      <c r="D648" s="106"/>
      <c r="E648" s="297"/>
      <c r="F648" s="88"/>
      <c r="G648" s="78"/>
      <c r="J648" s="30"/>
      <c r="K648" s="30"/>
      <c r="L648" s="31"/>
    </row>
    <row r="649" spans="1:12" ht="18.95" customHeight="1">
      <c r="A649" s="87"/>
      <c r="B649" s="87"/>
      <c r="C649" s="87"/>
      <c r="D649" s="106"/>
      <c r="E649" s="297"/>
      <c r="F649" s="88"/>
      <c r="G649" s="78"/>
      <c r="J649" s="30"/>
      <c r="K649" s="30"/>
      <c r="L649" s="31"/>
    </row>
    <row r="650" spans="1:12" ht="18.95" customHeight="1">
      <c r="A650" s="87"/>
      <c r="B650" s="87"/>
      <c r="C650" s="87"/>
      <c r="D650" s="106"/>
      <c r="E650" s="297"/>
      <c r="F650" s="88"/>
      <c r="G650" s="78"/>
      <c r="J650" s="30"/>
      <c r="K650" s="30"/>
      <c r="L650" s="31"/>
    </row>
    <row r="651" spans="1:12" ht="18.95" customHeight="1">
      <c r="A651" s="87"/>
      <c r="B651" s="87"/>
      <c r="C651" s="87"/>
      <c r="D651" s="106"/>
      <c r="E651" s="297"/>
      <c r="F651" s="88"/>
      <c r="G651" s="78"/>
      <c r="J651" s="30"/>
      <c r="K651" s="30"/>
      <c r="L651" s="31"/>
    </row>
    <row r="652" spans="1:12" ht="18.95" customHeight="1">
      <c r="A652" s="87"/>
      <c r="B652" s="87"/>
      <c r="C652" s="87"/>
      <c r="D652" s="106"/>
      <c r="E652" s="297"/>
      <c r="F652" s="88"/>
      <c r="G652" s="78"/>
      <c r="J652" s="30"/>
      <c r="K652" s="30"/>
      <c r="L652" s="31"/>
    </row>
    <row r="653" spans="1:12" ht="18.95" customHeight="1">
      <c r="A653" s="87"/>
      <c r="B653" s="87"/>
      <c r="C653" s="87"/>
      <c r="D653" s="106"/>
      <c r="E653" s="297"/>
      <c r="F653" s="88"/>
      <c r="G653" s="78"/>
      <c r="J653" s="30"/>
      <c r="K653" s="30"/>
      <c r="L653" s="31"/>
    </row>
    <row r="654" spans="1:12" ht="18.95" customHeight="1" thickBot="1">
      <c r="A654" s="87"/>
      <c r="B654" s="87"/>
      <c r="C654" s="87"/>
      <c r="D654" s="106"/>
      <c r="E654" s="297"/>
      <c r="F654" s="88"/>
      <c r="G654" s="78"/>
      <c r="J654" s="30"/>
      <c r="K654" s="30"/>
      <c r="L654" s="31"/>
    </row>
    <row r="655" spans="1:12" ht="18.95" customHeight="1" thickTop="1" thickBot="1">
      <c r="A655" s="300" t="s">
        <v>6</v>
      </c>
      <c r="B655" s="301"/>
      <c r="C655" s="301"/>
      <c r="D655" s="302"/>
      <c r="E655" s="4"/>
      <c r="F655" s="5" t="s">
        <v>16</v>
      </c>
      <c r="G655" s="125" t="s">
        <v>26</v>
      </c>
    </row>
    <row r="656" spans="1:12" ht="18.95" customHeight="1" thickTop="1">
      <c r="A656" s="118" t="s">
        <v>1</v>
      </c>
      <c r="B656" s="114" t="s">
        <v>93</v>
      </c>
      <c r="C656" s="114" t="s">
        <v>97</v>
      </c>
      <c r="D656" s="6" t="s">
        <v>7</v>
      </c>
      <c r="E656" s="4" t="s">
        <v>8</v>
      </c>
      <c r="F656" s="8" t="s">
        <v>17</v>
      </c>
      <c r="G656" s="115" t="s">
        <v>18</v>
      </c>
    </row>
    <row r="657" spans="1:12" ht="18.95" customHeight="1">
      <c r="A657" s="119" t="s">
        <v>96</v>
      </c>
      <c r="B657" s="9" t="s">
        <v>94</v>
      </c>
      <c r="C657" s="9" t="s">
        <v>96</v>
      </c>
      <c r="D657" s="116" t="s">
        <v>96</v>
      </c>
      <c r="E657" s="7"/>
      <c r="F657" s="8"/>
      <c r="G657" s="115" t="s">
        <v>98</v>
      </c>
    </row>
    <row r="658" spans="1:12" ht="18.95" customHeight="1" thickBot="1">
      <c r="A658" s="117"/>
      <c r="B658" s="13" t="s">
        <v>95</v>
      </c>
      <c r="C658" s="10"/>
      <c r="D658" s="296"/>
      <c r="E658" s="11"/>
      <c r="F658" s="12"/>
      <c r="G658" s="13" t="s">
        <v>96</v>
      </c>
    </row>
    <row r="659" spans="1:12" ht="18.95" customHeight="1" thickTop="1">
      <c r="A659" s="89"/>
      <c r="B659" s="89"/>
      <c r="C659" s="89"/>
      <c r="D659" s="92"/>
      <c r="E659" s="93" t="s">
        <v>31</v>
      </c>
      <c r="F659" s="94"/>
      <c r="G659" s="89"/>
      <c r="J659" s="75"/>
      <c r="K659" s="30"/>
      <c r="L659" s="31"/>
    </row>
    <row r="660" spans="1:12" ht="18.95" customHeight="1">
      <c r="A660" s="75">
        <f>11819940+7000</f>
        <v>11826940</v>
      </c>
      <c r="B660" s="75"/>
      <c r="C660" s="75">
        <f>SUM(A660)</f>
        <v>11826940</v>
      </c>
      <c r="D660" s="32">
        <f>252411+99150+101924+112368+101386+109186+141828+386162</f>
        <v>1304415</v>
      </c>
      <c r="E660" s="95" t="s">
        <v>99</v>
      </c>
      <c r="F660" s="17" t="s">
        <v>258</v>
      </c>
      <c r="G660" s="32">
        <v>386162</v>
      </c>
      <c r="J660" s="30">
        <f>SUM(A660)</f>
        <v>11826940</v>
      </c>
      <c r="K660" s="30"/>
      <c r="L660" s="31"/>
    </row>
    <row r="661" spans="1:12" ht="18.95" customHeight="1">
      <c r="A661" s="75">
        <v>2311920</v>
      </c>
      <c r="B661" s="75"/>
      <c r="C661" s="75">
        <f t="shared" ref="C661:C670" si="10">SUM(A661)</f>
        <v>2311920</v>
      </c>
      <c r="D661" s="32">
        <f>185460+185460+185460+185460+185460+185460+185460+185460</f>
        <v>1483680</v>
      </c>
      <c r="E661" s="96" t="s">
        <v>100</v>
      </c>
      <c r="F661" s="17" t="s">
        <v>259</v>
      </c>
      <c r="G661" s="32">
        <v>185460</v>
      </c>
      <c r="J661" s="79"/>
      <c r="K661" s="30"/>
      <c r="L661" s="31"/>
    </row>
    <row r="662" spans="1:12" ht="18.95" customHeight="1">
      <c r="A662" s="75">
        <f>4208100+2188860+950340+1571400+1293060-50000-50000-150000-7000-100000-50000-100000-100000-6600+6600-6000+6000</f>
        <v>9604760</v>
      </c>
      <c r="B662" s="75"/>
      <c r="C662" s="75">
        <f t="shared" si="10"/>
        <v>9604760</v>
      </c>
      <c r="D662" s="32">
        <f>614934+624105+619579+600820+600820+600820+609380+609900</f>
        <v>4880358</v>
      </c>
      <c r="E662" s="96" t="s">
        <v>101</v>
      </c>
      <c r="F662" s="17" t="s">
        <v>260</v>
      </c>
      <c r="G662" s="32">
        <v>609900</v>
      </c>
      <c r="J662" s="79">
        <f>SUM(A661:A662)</f>
        <v>11916680</v>
      </c>
      <c r="K662" s="30"/>
      <c r="L662" s="31"/>
    </row>
    <row r="663" spans="1:12" ht="18.95" customHeight="1">
      <c r="A663" s="75">
        <f>375160+190000+100000+23000+65000+40000</f>
        <v>793160</v>
      </c>
      <c r="B663" s="75"/>
      <c r="C663" s="75">
        <f t="shared" si="10"/>
        <v>793160</v>
      </c>
      <c r="D663" s="32">
        <f>7530+15764+5430+30030+49230+25430+79280+21030</f>
        <v>233724</v>
      </c>
      <c r="E663" s="96" t="s">
        <v>83</v>
      </c>
      <c r="F663" s="17" t="s">
        <v>261</v>
      </c>
      <c r="G663" s="32">
        <v>21030</v>
      </c>
      <c r="J663" s="30"/>
      <c r="K663" s="30"/>
      <c r="L663" s="31"/>
    </row>
    <row r="664" spans="1:12" ht="18.95" customHeight="1">
      <c r="A664" s="75">
        <f>855000+570000+60000+20000+39800+20000+90000+50000+265000+65000+770280+290000+80000+100000+396000+50000+50000-500000+500000+150000+100000+50000+100000-70000+70000+100000</f>
        <v>4271080</v>
      </c>
      <c r="B664" s="75"/>
      <c r="C664" s="75">
        <f t="shared" si="10"/>
        <v>4271080</v>
      </c>
      <c r="D664" s="32">
        <f>31920+280268+334687.16+59809+86918.51+177696+638099+148468.92</f>
        <v>1757866.5899999999</v>
      </c>
      <c r="E664" s="96" t="s">
        <v>84</v>
      </c>
      <c r="F664" s="17" t="s">
        <v>262</v>
      </c>
      <c r="G664" s="32">
        <v>148468.92000000001</v>
      </c>
      <c r="J664" s="30"/>
      <c r="K664" s="30"/>
      <c r="L664" s="31"/>
    </row>
    <row r="665" spans="1:12" ht="18.95" customHeight="1">
      <c r="A665" s="75">
        <f>395000+80000+20000+15000+125500+20000+50000+869840+60000+50000</f>
        <v>1685340</v>
      </c>
      <c r="B665" s="75"/>
      <c r="C665" s="75">
        <f t="shared" si="10"/>
        <v>1685340</v>
      </c>
      <c r="D665" s="32">
        <f>8100+78208.44+21820.9+74094.42+241331.86+5150+145432.86+156854.22</f>
        <v>730992.7</v>
      </c>
      <c r="E665" s="95" t="s">
        <v>85</v>
      </c>
      <c r="F665" s="17" t="s">
        <v>263</v>
      </c>
      <c r="G665" s="32">
        <v>156854.22</v>
      </c>
      <c r="J665" s="79"/>
      <c r="K665" s="30"/>
      <c r="L665" s="31"/>
    </row>
    <row r="666" spans="1:12" ht="18.95" customHeight="1">
      <c r="A666" s="75">
        <f>360000+10000+8000</f>
        <v>378000</v>
      </c>
      <c r="B666" s="75"/>
      <c r="C666" s="75">
        <f t="shared" si="10"/>
        <v>378000</v>
      </c>
      <c r="D666" s="32">
        <f>13206.98+26442.49+12618.58+12248.48+21134.41+17133.56+25417.42+21508.18</f>
        <v>149710.1</v>
      </c>
      <c r="E666" s="95" t="s">
        <v>86</v>
      </c>
      <c r="F666" s="17" t="s">
        <v>264</v>
      </c>
      <c r="G666" s="32">
        <v>21508.18</v>
      </c>
      <c r="J666" s="30">
        <f>SUM(A663:A666)</f>
        <v>7127580</v>
      </c>
      <c r="K666" s="30"/>
      <c r="L666" s="31"/>
    </row>
    <row r="667" spans="1:12" ht="18.95" customHeight="1">
      <c r="A667" s="75">
        <f>108000+15000+87900</f>
        <v>210900</v>
      </c>
      <c r="B667" s="75"/>
      <c r="C667" s="75">
        <f t="shared" si="10"/>
        <v>210900</v>
      </c>
      <c r="D667" s="32">
        <v>0</v>
      </c>
      <c r="E667" s="95" t="s">
        <v>36</v>
      </c>
      <c r="F667" s="17" t="s">
        <v>265</v>
      </c>
      <c r="G667" s="32">
        <v>0</v>
      </c>
      <c r="I667" s="3">
        <f>SUM(A667:A668)</f>
        <v>3284700</v>
      </c>
      <c r="J667" s="30"/>
      <c r="K667" s="30"/>
      <c r="L667" s="31"/>
    </row>
    <row r="668" spans="1:12" ht="18.95" customHeight="1">
      <c r="A668" s="75">
        <f>50000+3023800</f>
        <v>3073800</v>
      </c>
      <c r="B668" s="75"/>
      <c r="C668" s="75">
        <f t="shared" si="10"/>
        <v>3073800</v>
      </c>
      <c r="D668" s="32">
        <v>258000</v>
      </c>
      <c r="E668" s="95" t="s">
        <v>37</v>
      </c>
      <c r="F668" s="17" t="s">
        <v>266</v>
      </c>
      <c r="G668" s="32">
        <v>258000</v>
      </c>
      <c r="J668" s="30">
        <f>SUM(A667:A668)</f>
        <v>3284700</v>
      </c>
      <c r="K668" s="30"/>
      <c r="L668" s="31"/>
    </row>
    <row r="669" spans="1:12" ht="18.95" customHeight="1" thickBot="1">
      <c r="A669" s="75">
        <f>25000</f>
        <v>25000</v>
      </c>
      <c r="B669" s="101"/>
      <c r="C669" s="75">
        <f t="shared" si="10"/>
        <v>25000</v>
      </c>
      <c r="D669" s="32">
        <v>0</v>
      </c>
      <c r="E669" s="95" t="s">
        <v>102</v>
      </c>
      <c r="F669" s="17" t="s">
        <v>267</v>
      </c>
      <c r="G669" s="32">
        <v>0</v>
      </c>
      <c r="I669" s="102">
        <f>SUM(G660:G670)</f>
        <v>1815383.3199999998</v>
      </c>
      <c r="J669" s="30">
        <f>SUM(A669)</f>
        <v>25000</v>
      </c>
      <c r="K669" s="30"/>
      <c r="L669" s="31"/>
    </row>
    <row r="670" spans="1:12" ht="18.95" customHeight="1" thickTop="1">
      <c r="A670" s="75">
        <f>180000+1288000+351100</f>
        <v>1819100</v>
      </c>
      <c r="B670" s="101"/>
      <c r="C670" s="75">
        <f t="shared" si="10"/>
        <v>1819100</v>
      </c>
      <c r="D670" s="24">
        <f>322000+297000+26000+28000</f>
        <v>673000</v>
      </c>
      <c r="E670" s="170" t="s">
        <v>89</v>
      </c>
      <c r="F670" s="27" t="s">
        <v>268</v>
      </c>
      <c r="G670" s="24">
        <v>28000</v>
      </c>
      <c r="J670" s="30">
        <f>SUM(A670)</f>
        <v>1819100</v>
      </c>
      <c r="K670" s="30"/>
      <c r="L670" s="31"/>
    </row>
    <row r="671" spans="1:12" s="110" customFormat="1" ht="18.95" customHeight="1" thickBot="1">
      <c r="A671" s="244">
        <f>SUM(A660:A670)</f>
        <v>36000000</v>
      </c>
      <c r="B671" s="244">
        <f>SUM(B660:B670)</f>
        <v>0</v>
      </c>
      <c r="C671" s="244">
        <f>SUM(C660:C670)</f>
        <v>36000000</v>
      </c>
      <c r="D671" s="175">
        <f>SUM(D660:D670)</f>
        <v>11471746.389999999</v>
      </c>
      <c r="E671" s="254"/>
      <c r="F671" s="178"/>
      <c r="G671" s="244">
        <f>SUM(G660:G670)</f>
        <v>1815383.3199999998</v>
      </c>
      <c r="I671" s="111"/>
      <c r="J671" s="36">
        <f>SUM(J660:J670)</f>
        <v>36000000</v>
      </c>
      <c r="K671" s="36"/>
      <c r="L671" s="131"/>
    </row>
    <row r="672" spans="1:12" ht="18.95" customHeight="1" thickTop="1">
      <c r="A672" s="171"/>
      <c r="B672" s="171"/>
      <c r="C672" s="171"/>
      <c r="D672" s="23">
        <f>810700+846044+833348+831016+978328+824224+833600+894700</f>
        <v>6851960</v>
      </c>
      <c r="E672" s="21" t="s">
        <v>179</v>
      </c>
      <c r="F672" s="20" t="s">
        <v>256</v>
      </c>
      <c r="G672" s="172">
        <f>564000+243200+1500+86000</f>
        <v>894700</v>
      </c>
      <c r="J672" s="30"/>
      <c r="K672" s="30"/>
      <c r="L672" s="31"/>
    </row>
    <row r="673" spans="1:12" ht="18.95" customHeight="1">
      <c r="A673" s="75"/>
      <c r="B673" s="32"/>
      <c r="C673" s="75"/>
      <c r="D673" s="26">
        <f>1186831.48+650000+521617+1236675.86+2712000+148000</f>
        <v>6455124.3399999999</v>
      </c>
      <c r="E673" s="15" t="s">
        <v>180</v>
      </c>
      <c r="F673" s="25">
        <v>21010000</v>
      </c>
      <c r="G673" s="32">
        <v>0</v>
      </c>
      <c r="I673" s="98"/>
      <c r="J673" s="30"/>
      <c r="K673" s="30"/>
      <c r="L673" s="31"/>
    </row>
    <row r="674" spans="1:12" ht="18.95" customHeight="1">
      <c r="A674" s="75"/>
      <c r="B674" s="126"/>
      <c r="C674" s="75"/>
      <c r="D674" s="26">
        <f>84067.88+20590.73+35465.17+231673.27+68737.59+28386.6+72397.95</f>
        <v>541319.18999999994</v>
      </c>
      <c r="E674" s="15" t="s">
        <v>241</v>
      </c>
      <c r="F674" s="17" t="s">
        <v>254</v>
      </c>
      <c r="G674" s="32">
        <f>34901.95+10756+23450+3290</f>
        <v>72397.95</v>
      </c>
      <c r="J674" s="30"/>
      <c r="K674" s="30"/>
      <c r="L674" s="31"/>
    </row>
    <row r="675" spans="1:12" ht="18.95" customHeight="1">
      <c r="A675" s="75"/>
      <c r="B675" s="126"/>
      <c r="C675" s="75"/>
      <c r="D675" s="26">
        <f>2814000+51000</f>
        <v>2865000</v>
      </c>
      <c r="E675" s="15" t="s">
        <v>29</v>
      </c>
      <c r="F675" s="17" t="s">
        <v>340</v>
      </c>
      <c r="G675" s="32">
        <v>51000</v>
      </c>
      <c r="J675" s="30"/>
      <c r="K675" s="30"/>
      <c r="L675" s="31"/>
    </row>
    <row r="676" spans="1:12" ht="18.95" customHeight="1">
      <c r="A676" s="75"/>
      <c r="B676" s="24"/>
      <c r="C676" s="75"/>
      <c r="D676" s="26"/>
      <c r="E676" s="15"/>
      <c r="F676" s="25"/>
      <c r="G676" s="32"/>
      <c r="I676" s="98"/>
      <c r="J676" s="30"/>
      <c r="K676" s="30"/>
      <c r="L676" s="31"/>
    </row>
    <row r="677" spans="1:12" ht="18.95" customHeight="1">
      <c r="A677" s="75"/>
      <c r="B677" s="32"/>
      <c r="C677" s="75"/>
      <c r="D677" s="26"/>
      <c r="E677" s="15"/>
      <c r="F677" s="25"/>
      <c r="G677" s="32"/>
      <c r="I677" s="98"/>
      <c r="J677" s="30"/>
      <c r="K677" s="30"/>
      <c r="L677" s="31"/>
    </row>
    <row r="678" spans="1:12" ht="18.95" customHeight="1">
      <c r="A678" s="14"/>
      <c r="B678" s="127"/>
      <c r="C678" s="127"/>
      <c r="D678" s="26">
        <v>0</v>
      </c>
      <c r="E678" s="128"/>
      <c r="F678" s="17"/>
      <c r="G678" s="32">
        <v>0</v>
      </c>
    </row>
    <row r="679" spans="1:12" ht="18.95" customHeight="1">
      <c r="A679" s="14"/>
      <c r="B679" s="127"/>
      <c r="C679" s="127"/>
      <c r="D679" s="26">
        <v>0</v>
      </c>
      <c r="E679" s="128"/>
      <c r="F679" s="17"/>
      <c r="G679" s="32">
        <v>0</v>
      </c>
    </row>
    <row r="680" spans="1:12" ht="18.95" customHeight="1">
      <c r="A680" s="14"/>
      <c r="B680" s="127"/>
      <c r="C680" s="127"/>
      <c r="D680" s="26">
        <v>0</v>
      </c>
      <c r="E680" s="128"/>
      <c r="F680" s="17"/>
      <c r="G680" s="32">
        <v>0</v>
      </c>
    </row>
    <row r="681" spans="1:12" ht="18.95" customHeight="1">
      <c r="A681" s="14"/>
      <c r="B681" s="127"/>
      <c r="C681" s="127"/>
      <c r="D681" s="26">
        <v>0</v>
      </c>
      <c r="E681" s="105"/>
      <c r="F681" s="17"/>
      <c r="G681" s="32">
        <v>0</v>
      </c>
    </row>
    <row r="682" spans="1:12" ht="18.95" customHeight="1">
      <c r="A682" s="123"/>
      <c r="B682" s="22"/>
      <c r="C682" s="22"/>
      <c r="D682" s="26">
        <v>0</v>
      </c>
      <c r="E682" s="133"/>
      <c r="F682" s="20"/>
      <c r="G682" s="19">
        <v>0</v>
      </c>
    </row>
    <row r="683" spans="1:12" ht="27" customHeight="1" thickBot="1">
      <c r="A683" s="179"/>
      <c r="B683" s="179"/>
      <c r="C683" s="179"/>
      <c r="D683" s="175">
        <f>SUM(D671:D682)</f>
        <v>28185149.920000002</v>
      </c>
      <c r="E683" s="180" t="s">
        <v>32</v>
      </c>
      <c r="F683" s="181"/>
      <c r="G683" s="182">
        <f>SUM(G671+G672+G673+G674+G675+G676+G677+G678)</f>
        <v>2833481.27</v>
      </c>
      <c r="J683" s="30"/>
      <c r="K683" s="30"/>
      <c r="L683" s="31"/>
    </row>
    <row r="684" spans="1:12" ht="22.5" customHeight="1" thickTop="1">
      <c r="A684" s="87"/>
      <c r="B684" s="87"/>
      <c r="C684" s="87"/>
      <c r="D684" s="99">
        <f>SUM(D643-D683)</f>
        <v>2573979.2800000012</v>
      </c>
      <c r="E684" s="107" t="s">
        <v>38</v>
      </c>
      <c r="F684" s="108"/>
      <c r="G684" s="100">
        <f>SUM(G643-G683)</f>
        <v>699928.56999999983</v>
      </c>
    </row>
    <row r="685" spans="1:12" ht="20.25" customHeight="1">
      <c r="A685" s="87"/>
      <c r="B685" s="87"/>
      <c r="C685" s="22"/>
      <c r="D685" s="26"/>
      <c r="E685" s="70" t="s">
        <v>187</v>
      </c>
      <c r="F685" s="108"/>
      <c r="G685" s="32"/>
    </row>
    <row r="686" spans="1:12" ht="21" customHeight="1">
      <c r="A686" s="42"/>
      <c r="B686" s="42"/>
      <c r="C686" s="97"/>
      <c r="D686" s="100"/>
      <c r="E686" s="107" t="s">
        <v>103</v>
      </c>
      <c r="F686" s="108"/>
      <c r="G686" s="100"/>
    </row>
    <row r="687" spans="1:12" ht="21" customHeight="1" thickBot="1">
      <c r="A687" s="87"/>
      <c r="B687" s="87"/>
      <c r="C687" s="22"/>
      <c r="D687" s="34">
        <f>SUM(D619+D684)</f>
        <v>23536976.75</v>
      </c>
      <c r="E687" s="107" t="s">
        <v>104</v>
      </c>
      <c r="F687" s="108"/>
      <c r="G687" s="34">
        <f>SUM(G619+G684)</f>
        <v>23536976.75</v>
      </c>
      <c r="I687" s="187">
        <v>24729429</v>
      </c>
      <c r="J687" s="3">
        <f>SUM(G687-I687)</f>
        <v>-1192452.25</v>
      </c>
      <c r="K687" s="3">
        <f>SUM(I687-I690)</f>
        <v>-526713.62999999896</v>
      </c>
    </row>
    <row r="688" spans="1:12" ht="5.25" customHeight="1" thickTop="1">
      <c r="A688" s="87"/>
      <c r="B688" s="87"/>
      <c r="C688" s="87"/>
      <c r="D688" s="74"/>
      <c r="E688" s="297"/>
      <c r="F688" s="88"/>
      <c r="G688" s="78"/>
    </row>
    <row r="689" spans="1:10" ht="18.95" customHeight="1">
      <c r="A689" s="87" t="s">
        <v>19</v>
      </c>
      <c r="B689" s="87"/>
      <c r="C689" s="87"/>
      <c r="D689" s="74"/>
      <c r="E689" s="297"/>
      <c r="F689" s="88"/>
      <c r="G689" s="78"/>
    </row>
    <row r="690" spans="1:10" ht="20.25" customHeight="1">
      <c r="A690" s="87" t="s">
        <v>355</v>
      </c>
      <c r="B690" s="87"/>
      <c r="C690" s="87"/>
      <c r="D690" s="74"/>
      <c r="E690" s="297"/>
      <c r="F690" s="88"/>
      <c r="G690" s="78"/>
      <c r="I690" s="3">
        <v>25256142.629999999</v>
      </c>
    </row>
    <row r="691" spans="1:10" ht="20.25" customHeight="1">
      <c r="A691" s="87"/>
      <c r="B691" s="87"/>
      <c r="C691" s="87"/>
      <c r="D691" s="74"/>
      <c r="E691" s="297"/>
      <c r="F691" s="88"/>
      <c r="G691" s="78"/>
      <c r="I691" s="3">
        <v>1102</v>
      </c>
      <c r="J691" s="3">
        <f>SUM(I690-G687)</f>
        <v>1719165.879999999</v>
      </c>
    </row>
    <row r="692" spans="1:10" ht="21" customHeight="1">
      <c r="A692" s="87" t="s">
        <v>79</v>
      </c>
      <c r="B692" s="87"/>
      <c r="C692" s="87"/>
      <c r="D692" s="30"/>
      <c r="E692" s="77"/>
      <c r="F692" s="88"/>
      <c r="G692" s="42"/>
    </row>
    <row r="693" spans="1:10" ht="21" customHeight="1">
      <c r="A693" s="87"/>
      <c r="B693" s="87"/>
      <c r="C693" s="87"/>
      <c r="D693" s="30"/>
      <c r="E693" s="77"/>
      <c r="F693" s="88"/>
      <c r="G693" s="42"/>
    </row>
    <row r="694" spans="1:10" ht="23.25" customHeight="1">
      <c r="A694" s="87" t="s">
        <v>190</v>
      </c>
      <c r="B694" s="87"/>
      <c r="C694" s="87"/>
      <c r="D694" s="74"/>
      <c r="E694" s="297"/>
      <c r="F694" s="88"/>
      <c r="G694" s="78"/>
    </row>
    <row r="695" spans="1:10" ht="18.95" customHeight="1">
      <c r="A695" s="87" t="s">
        <v>186</v>
      </c>
      <c r="B695" s="87"/>
      <c r="C695" s="87"/>
      <c r="D695" s="74"/>
      <c r="E695" s="297"/>
      <c r="F695" s="88"/>
      <c r="G695" s="78"/>
    </row>
  </sheetData>
  <mergeCells count="48">
    <mergeCell ref="A655:D655"/>
    <mergeCell ref="A611:G611"/>
    <mergeCell ref="A612:G612"/>
    <mergeCell ref="A613:G613"/>
    <mergeCell ref="A614:G614"/>
    <mergeCell ref="A615:D615"/>
    <mergeCell ref="A568:D568"/>
    <mergeCell ref="A524:G524"/>
    <mergeCell ref="A525:G525"/>
    <mergeCell ref="A526:G526"/>
    <mergeCell ref="A527:G527"/>
    <mergeCell ref="A528:D528"/>
    <mergeCell ref="A394:D394"/>
    <mergeCell ref="A350:G350"/>
    <mergeCell ref="A351:G351"/>
    <mergeCell ref="A352:G352"/>
    <mergeCell ref="A353:G353"/>
    <mergeCell ref="A354:D354"/>
    <mergeCell ref="A307:D307"/>
    <mergeCell ref="A263:G263"/>
    <mergeCell ref="A264:G264"/>
    <mergeCell ref="A265:G265"/>
    <mergeCell ref="A266:G266"/>
    <mergeCell ref="A267:D267"/>
    <mergeCell ref="A176:G176"/>
    <mergeCell ref="A180:D180"/>
    <mergeCell ref="A220:D220"/>
    <mergeCell ref="A177:G177"/>
    <mergeCell ref="A178:G178"/>
    <mergeCell ref="A179:G179"/>
    <mergeCell ref="A45:D45"/>
    <mergeCell ref="A1:G1"/>
    <mergeCell ref="A3:G3"/>
    <mergeCell ref="A4:G4"/>
    <mergeCell ref="A5:D5"/>
    <mergeCell ref="A2:G2"/>
    <mergeCell ref="A133:D133"/>
    <mergeCell ref="A89:G89"/>
    <mergeCell ref="A90:G90"/>
    <mergeCell ref="A91:G91"/>
    <mergeCell ref="A92:G92"/>
    <mergeCell ref="A93:D93"/>
    <mergeCell ref="A481:D481"/>
    <mergeCell ref="A437:G437"/>
    <mergeCell ref="A438:G438"/>
    <mergeCell ref="A439:G439"/>
    <mergeCell ref="A440:G440"/>
    <mergeCell ref="A441:D441"/>
  </mergeCells>
  <phoneticPr fontId="0" type="noConversion"/>
  <pageMargins left="0.37" right="0.19685039370078741" top="0.47" bottom="0.11811023622047245" header="0.15748031496062992" footer="0.15748031496062992"/>
  <pageSetup paperSize="9" orientation="portrait" verticalDpi="12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B1:Y1104"/>
  <sheetViews>
    <sheetView tabSelected="1" topLeftCell="A1100" zoomScaleNormal="100" workbookViewId="0">
      <selection activeCell="G1112" sqref="G1112"/>
    </sheetView>
  </sheetViews>
  <sheetFormatPr defaultRowHeight="17.25"/>
  <cols>
    <col min="1" max="1" width="3.5703125" style="110" customWidth="1"/>
    <col min="2" max="2" width="51" style="110" customWidth="1"/>
    <col min="3" max="3" width="15.85546875" style="111" customWidth="1"/>
    <col min="4" max="4" width="14.42578125" style="111" customWidth="1"/>
    <col min="5" max="5" width="19" style="111" customWidth="1"/>
    <col min="6" max="6" width="19.28515625" style="111" customWidth="1"/>
    <col min="7" max="7" width="23.42578125" style="110" customWidth="1"/>
    <col min="8" max="8" width="14.28515625" style="110" customWidth="1"/>
    <col min="9" max="9" width="16.5703125" style="110" customWidth="1"/>
    <col min="10" max="10" width="13.85546875" style="110" customWidth="1"/>
    <col min="11" max="11" width="15" style="110" customWidth="1"/>
    <col min="12" max="16384" width="9.140625" style="110"/>
  </cols>
  <sheetData>
    <row r="1" spans="2:6">
      <c r="B1" s="202" t="s">
        <v>194</v>
      </c>
      <c r="F1" s="110"/>
    </row>
    <row r="2" spans="2:6" ht="17.25" customHeight="1">
      <c r="B2" s="203" t="s">
        <v>8</v>
      </c>
      <c r="C2" s="204" t="s">
        <v>195</v>
      </c>
      <c r="D2" s="204" t="s">
        <v>57</v>
      </c>
      <c r="E2" s="205" t="s">
        <v>196</v>
      </c>
      <c r="F2" s="201"/>
    </row>
    <row r="3" spans="2:6" ht="19.5" customHeight="1">
      <c r="B3" s="188" t="s">
        <v>42</v>
      </c>
      <c r="C3" s="189">
        <v>0</v>
      </c>
      <c r="D3" s="189">
        <v>0</v>
      </c>
      <c r="E3" s="190">
        <f>SUM(C3+D3)</f>
        <v>0</v>
      </c>
      <c r="F3" s="36"/>
    </row>
    <row r="4" spans="2:6" ht="17.25" customHeight="1">
      <c r="B4" s="191" t="s">
        <v>43</v>
      </c>
      <c r="C4" s="37">
        <v>0</v>
      </c>
      <c r="D4" s="37">
        <v>497.26</v>
      </c>
      <c r="E4" s="37">
        <f>SUM(C4+D4)</f>
        <v>497.26</v>
      </c>
      <c r="F4" s="36"/>
    </row>
    <row r="5" spans="2:6" ht="17.25" customHeight="1">
      <c r="B5" s="191" t="s">
        <v>44</v>
      </c>
      <c r="C5" s="37">
        <v>0</v>
      </c>
      <c r="D5" s="37">
        <v>0</v>
      </c>
      <c r="E5" s="37">
        <f>SUM(C5+D5)</f>
        <v>0</v>
      </c>
      <c r="F5" s="36"/>
    </row>
    <row r="6" spans="2:6" ht="17.25" customHeight="1">
      <c r="B6" s="191" t="s">
        <v>45</v>
      </c>
      <c r="C6" s="37">
        <v>0</v>
      </c>
      <c r="D6" s="37">
        <v>0</v>
      </c>
      <c r="E6" s="37">
        <f t="shared" ref="E6:E29" si="0">SUM(C6+D6)</f>
        <v>0</v>
      </c>
      <c r="F6" s="36"/>
    </row>
    <row r="7" spans="2:6" ht="17.25" customHeight="1">
      <c r="B7" s="191" t="s">
        <v>72</v>
      </c>
      <c r="C7" s="37">
        <v>0</v>
      </c>
      <c r="D7" s="37">
        <v>0</v>
      </c>
      <c r="E7" s="37">
        <f t="shared" si="0"/>
        <v>0</v>
      </c>
      <c r="F7" s="36"/>
    </row>
    <row r="8" spans="2:6" ht="17.25" customHeight="1">
      <c r="B8" s="191" t="s">
        <v>73</v>
      </c>
      <c r="C8" s="37">
        <v>0</v>
      </c>
      <c r="D8" s="37">
        <v>0</v>
      </c>
      <c r="E8" s="37">
        <f t="shared" si="0"/>
        <v>0</v>
      </c>
      <c r="F8" s="36"/>
    </row>
    <row r="9" spans="2:6" ht="17.25" customHeight="1">
      <c r="B9" s="191" t="s">
        <v>46</v>
      </c>
      <c r="C9" s="37">
        <v>0</v>
      </c>
      <c r="D9" s="37">
        <v>55</v>
      </c>
      <c r="E9" s="37">
        <f t="shared" si="0"/>
        <v>55</v>
      </c>
      <c r="F9" s="36"/>
    </row>
    <row r="10" spans="2:6" ht="17.25" customHeight="1">
      <c r="B10" s="191" t="s">
        <v>75</v>
      </c>
      <c r="C10" s="37"/>
      <c r="D10" s="37">
        <v>0</v>
      </c>
      <c r="E10" s="37">
        <f t="shared" si="0"/>
        <v>0</v>
      </c>
      <c r="F10" s="36"/>
    </row>
    <row r="11" spans="2:6" ht="17.25" customHeight="1">
      <c r="B11" s="191" t="s">
        <v>64</v>
      </c>
      <c r="C11" s="37">
        <v>0</v>
      </c>
      <c r="D11" s="37">
        <v>20</v>
      </c>
      <c r="E11" s="37">
        <f t="shared" si="0"/>
        <v>20</v>
      </c>
      <c r="F11" s="36"/>
    </row>
    <row r="12" spans="2:6" ht="17.25" customHeight="1">
      <c r="B12" s="191" t="s">
        <v>65</v>
      </c>
      <c r="C12" s="37">
        <v>0</v>
      </c>
      <c r="D12" s="37">
        <v>200</v>
      </c>
      <c r="E12" s="37">
        <f t="shared" si="0"/>
        <v>200</v>
      </c>
      <c r="F12" s="36"/>
    </row>
    <row r="13" spans="2:6" ht="17.25" customHeight="1">
      <c r="B13" s="191" t="s">
        <v>160</v>
      </c>
      <c r="C13" s="37"/>
      <c r="D13" s="37">
        <v>0</v>
      </c>
      <c r="E13" s="37">
        <f t="shared" si="0"/>
        <v>0</v>
      </c>
      <c r="F13" s="36"/>
    </row>
    <row r="14" spans="2:6" ht="17.25" customHeight="1">
      <c r="B14" s="191" t="s">
        <v>74</v>
      </c>
      <c r="C14" s="37">
        <v>0</v>
      </c>
      <c r="D14" s="37">
        <v>0</v>
      </c>
      <c r="E14" s="37">
        <f t="shared" si="0"/>
        <v>0</v>
      </c>
      <c r="F14" s="36"/>
    </row>
    <row r="15" spans="2:6" ht="17.25" customHeight="1">
      <c r="B15" s="191" t="s">
        <v>55</v>
      </c>
      <c r="C15" s="37">
        <v>0</v>
      </c>
      <c r="D15" s="37">
        <v>50</v>
      </c>
      <c r="E15" s="37">
        <f t="shared" si="0"/>
        <v>50</v>
      </c>
      <c r="F15" s="36"/>
    </row>
    <row r="16" spans="2:6" ht="17.25" customHeight="1">
      <c r="B16" s="191" t="s">
        <v>56</v>
      </c>
      <c r="C16" s="37">
        <v>0</v>
      </c>
      <c r="D16" s="37">
        <v>0</v>
      </c>
      <c r="E16" s="37">
        <f t="shared" si="0"/>
        <v>0</v>
      </c>
      <c r="F16" s="36"/>
    </row>
    <row r="17" spans="2:6" ht="17.25" customHeight="1">
      <c r="B17" s="192" t="s">
        <v>53</v>
      </c>
      <c r="C17" s="37">
        <v>0</v>
      </c>
      <c r="D17" s="37">
        <v>0</v>
      </c>
      <c r="E17" s="37">
        <f t="shared" si="0"/>
        <v>0</v>
      </c>
      <c r="F17" s="36"/>
    </row>
    <row r="18" spans="2:6" ht="17.25" customHeight="1">
      <c r="B18" s="192" t="s">
        <v>77</v>
      </c>
      <c r="C18" s="37">
        <v>0</v>
      </c>
      <c r="D18" s="37">
        <v>2000</v>
      </c>
      <c r="E18" s="37">
        <f t="shared" si="0"/>
        <v>2000</v>
      </c>
      <c r="F18" s="36"/>
    </row>
    <row r="19" spans="2:6" ht="17.25" customHeight="1">
      <c r="B19" s="192" t="s">
        <v>76</v>
      </c>
      <c r="C19" s="37">
        <v>0</v>
      </c>
      <c r="D19" s="37">
        <v>0</v>
      </c>
      <c r="E19" s="37">
        <f t="shared" si="0"/>
        <v>0</v>
      </c>
      <c r="F19" s="36"/>
    </row>
    <row r="20" spans="2:6" ht="17.25" customHeight="1">
      <c r="B20" s="192" t="s">
        <v>158</v>
      </c>
      <c r="C20" s="37">
        <v>0</v>
      </c>
      <c r="D20" s="37">
        <v>0</v>
      </c>
      <c r="E20" s="37">
        <f t="shared" si="0"/>
        <v>0</v>
      </c>
      <c r="F20" s="36"/>
    </row>
    <row r="21" spans="2:6" ht="17.25" customHeight="1">
      <c r="B21" s="191" t="s">
        <v>66</v>
      </c>
      <c r="C21" s="37">
        <v>0</v>
      </c>
      <c r="D21" s="37">
        <v>807681.19</v>
      </c>
      <c r="E21" s="37">
        <f t="shared" si="0"/>
        <v>807681.19</v>
      </c>
      <c r="F21" s="36"/>
    </row>
    <row r="22" spans="2:6" ht="17.25" customHeight="1">
      <c r="B22" s="191" t="s">
        <v>67</v>
      </c>
      <c r="C22" s="37">
        <v>0</v>
      </c>
      <c r="D22" s="37">
        <v>136065.98000000001</v>
      </c>
      <c r="E22" s="37">
        <f t="shared" si="0"/>
        <v>136065.98000000001</v>
      </c>
      <c r="F22" s="36"/>
    </row>
    <row r="23" spans="2:6" ht="17.25" customHeight="1">
      <c r="B23" s="191" t="s">
        <v>48</v>
      </c>
      <c r="C23" s="37">
        <v>0</v>
      </c>
      <c r="D23" s="37">
        <v>0</v>
      </c>
      <c r="E23" s="37">
        <f t="shared" si="0"/>
        <v>0</v>
      </c>
      <c r="F23" s="36"/>
    </row>
    <row r="24" spans="2:6" ht="17.25" customHeight="1">
      <c r="B24" s="191" t="s">
        <v>49</v>
      </c>
      <c r="C24" s="37">
        <v>0</v>
      </c>
      <c r="D24" s="37">
        <v>0</v>
      </c>
      <c r="E24" s="37">
        <f t="shared" si="0"/>
        <v>0</v>
      </c>
      <c r="F24" s="36"/>
    </row>
    <row r="25" spans="2:6" ht="17.25" customHeight="1">
      <c r="B25" s="191" t="s">
        <v>50</v>
      </c>
      <c r="C25" s="37">
        <v>0</v>
      </c>
      <c r="D25" s="37">
        <v>375552.6</v>
      </c>
      <c r="E25" s="37">
        <f t="shared" si="0"/>
        <v>375552.6</v>
      </c>
      <c r="F25" s="36"/>
    </row>
    <row r="26" spans="2:6" ht="17.25" customHeight="1">
      <c r="B26" s="192" t="s">
        <v>54</v>
      </c>
      <c r="C26" s="37">
        <v>0</v>
      </c>
      <c r="D26" s="37">
        <v>0</v>
      </c>
      <c r="E26" s="37">
        <f t="shared" si="0"/>
        <v>0</v>
      </c>
      <c r="F26" s="36"/>
    </row>
    <row r="27" spans="2:6" ht="17.25" customHeight="1">
      <c r="B27" s="191" t="s">
        <v>51</v>
      </c>
      <c r="C27" s="37">
        <v>0</v>
      </c>
      <c r="D27" s="37">
        <v>11585.92</v>
      </c>
      <c r="E27" s="37">
        <f t="shared" si="0"/>
        <v>11585.92</v>
      </c>
      <c r="F27" s="36"/>
    </row>
    <row r="28" spans="2:6" ht="17.25" customHeight="1">
      <c r="B28" s="191" t="s">
        <v>47</v>
      </c>
      <c r="C28" s="37">
        <v>0</v>
      </c>
      <c r="D28" s="37">
        <v>44513</v>
      </c>
      <c r="E28" s="37">
        <f t="shared" si="0"/>
        <v>44513</v>
      </c>
      <c r="F28" s="36"/>
    </row>
    <row r="29" spans="2:6" ht="17.25" customHeight="1">
      <c r="B29" s="191" t="s">
        <v>52</v>
      </c>
      <c r="C29" s="37">
        <v>0</v>
      </c>
      <c r="D29" s="37">
        <v>5566536</v>
      </c>
      <c r="E29" s="37">
        <f t="shared" si="0"/>
        <v>5566536</v>
      </c>
      <c r="F29" s="36"/>
    </row>
    <row r="30" spans="2:6" ht="17.25" customHeight="1">
      <c r="B30" s="193" t="s">
        <v>135</v>
      </c>
      <c r="C30" s="194">
        <v>0</v>
      </c>
      <c r="D30" s="194">
        <v>0</v>
      </c>
      <c r="E30" s="194">
        <f>SUM(C30+D30)</f>
        <v>0</v>
      </c>
      <c r="F30" s="36"/>
    </row>
    <row r="31" spans="2:6" s="156" customFormat="1" ht="17.25" customHeight="1" thickBot="1">
      <c r="B31" s="195" t="s">
        <v>165</v>
      </c>
      <c r="C31" s="174">
        <f>SUM(C3:C30)</f>
        <v>0</v>
      </c>
      <c r="D31" s="174">
        <f>SUM(D3:D30)</f>
        <v>6944756.9499999993</v>
      </c>
      <c r="E31" s="196">
        <f>SUM(E3:E30)</f>
        <v>6944756.9499999993</v>
      </c>
      <c r="F31" s="197"/>
    </row>
    <row r="32" spans="2:6" s="156" customFormat="1" ht="17.25" customHeight="1" thickTop="1">
      <c r="B32" s="198"/>
      <c r="C32" s="197"/>
      <c r="D32" s="197"/>
      <c r="E32" s="197"/>
      <c r="F32" s="197"/>
    </row>
    <row r="33" spans="2:25" s="156" customFormat="1" ht="17.25" customHeight="1">
      <c r="B33" s="198"/>
      <c r="C33" s="197"/>
      <c r="D33" s="197"/>
      <c r="E33" s="197"/>
      <c r="F33" s="197"/>
    </row>
    <row r="34" spans="2:25" s="156" customFormat="1" ht="17.25" customHeight="1">
      <c r="B34" s="198"/>
      <c r="C34" s="197"/>
      <c r="D34" s="197"/>
      <c r="E34" s="197"/>
      <c r="F34" s="197"/>
    </row>
    <row r="35" spans="2:25">
      <c r="B35" s="199" t="s">
        <v>269</v>
      </c>
      <c r="G35" s="200"/>
      <c r="H35" s="201"/>
      <c r="I35" s="201"/>
      <c r="J35" s="201"/>
    </row>
    <row r="36" spans="2:25">
      <c r="B36" s="199" t="s">
        <v>270</v>
      </c>
      <c r="G36" s="131"/>
      <c r="H36" s="131"/>
      <c r="I36" s="131"/>
      <c r="J36" s="131"/>
      <c r="K36" s="131"/>
      <c r="L36" s="131"/>
      <c r="M36" s="131"/>
      <c r="N36" s="131"/>
      <c r="O36" s="131"/>
      <c r="P36" s="131"/>
      <c r="Q36" s="131"/>
      <c r="R36" s="131"/>
      <c r="S36" s="131"/>
      <c r="T36" s="131"/>
      <c r="U36" s="131"/>
      <c r="V36" s="131"/>
      <c r="W36" s="131"/>
      <c r="X36" s="131"/>
      <c r="Y36" s="131"/>
    </row>
    <row r="37" spans="2:25" s="156" customFormat="1" ht="17.25" customHeight="1">
      <c r="B37" s="198"/>
      <c r="C37" s="197"/>
      <c r="D37" s="197"/>
      <c r="E37" s="197"/>
      <c r="F37" s="197"/>
    </row>
    <row r="38" spans="2:25" s="156" customFormat="1" ht="17.25" customHeight="1">
      <c r="B38" s="198"/>
      <c r="C38" s="197"/>
      <c r="D38" s="197"/>
      <c r="E38" s="197"/>
      <c r="F38" s="197"/>
    </row>
    <row r="39" spans="2:25" s="156" customFormat="1" ht="17.25" customHeight="1">
      <c r="B39" s="198"/>
      <c r="C39" s="197"/>
      <c r="D39" s="197"/>
      <c r="E39" s="197"/>
      <c r="F39" s="197"/>
    </row>
    <row r="40" spans="2:25" s="156" customFormat="1" ht="17.25" customHeight="1">
      <c r="B40" s="198"/>
      <c r="C40" s="197"/>
      <c r="D40" s="197"/>
      <c r="E40" s="197"/>
      <c r="F40" s="197"/>
    </row>
    <row r="41" spans="2:25" s="156" customFormat="1" ht="17.25" customHeight="1">
      <c r="B41" s="198"/>
      <c r="C41" s="197"/>
      <c r="D41" s="197"/>
      <c r="E41" s="197"/>
      <c r="F41" s="197"/>
    </row>
    <row r="42" spans="2:25" s="156" customFormat="1" ht="17.25" customHeight="1">
      <c r="B42" s="198"/>
      <c r="C42" s="197"/>
      <c r="D42" s="197"/>
      <c r="E42" s="197"/>
      <c r="F42" s="197"/>
    </row>
    <row r="43" spans="2:25" s="156" customFormat="1" ht="17.25" customHeight="1">
      <c r="B43" s="198"/>
      <c r="C43" s="197"/>
      <c r="D43" s="197"/>
      <c r="E43" s="197"/>
      <c r="F43" s="197"/>
    </row>
    <row r="44" spans="2:25" s="156" customFormat="1" ht="17.25" customHeight="1">
      <c r="B44" s="198"/>
      <c r="C44" s="197"/>
      <c r="D44" s="197"/>
      <c r="E44" s="197"/>
      <c r="F44" s="197"/>
    </row>
    <row r="45" spans="2:25" s="156" customFormat="1" ht="17.25" customHeight="1">
      <c r="B45" s="198"/>
      <c r="C45" s="197"/>
      <c r="D45" s="197"/>
      <c r="E45" s="197"/>
      <c r="F45" s="197"/>
    </row>
    <row r="46" spans="2:25" s="156" customFormat="1" ht="17.25" customHeight="1">
      <c r="B46" s="198"/>
      <c r="C46" s="197"/>
      <c r="D46" s="197"/>
      <c r="E46" s="197"/>
      <c r="F46" s="197"/>
    </row>
    <row r="47" spans="2:25" s="156" customFormat="1" ht="17.25" customHeight="1">
      <c r="B47" s="198"/>
      <c r="C47" s="197"/>
      <c r="D47" s="197"/>
      <c r="E47" s="197"/>
      <c r="F47" s="197"/>
    </row>
    <row r="48" spans="2:25" s="156" customFormat="1" ht="17.25" customHeight="1">
      <c r="B48" s="198"/>
      <c r="C48" s="197"/>
      <c r="D48" s="197"/>
      <c r="E48" s="197"/>
      <c r="F48" s="197"/>
    </row>
    <row r="49" spans="2:10" s="156" customFormat="1" ht="17.25" customHeight="1">
      <c r="B49" s="198"/>
      <c r="C49" s="197"/>
      <c r="D49" s="197"/>
      <c r="E49" s="197"/>
      <c r="F49" s="197"/>
    </row>
    <row r="50" spans="2:10" ht="20.25" customHeight="1">
      <c r="B50" s="206" t="s">
        <v>199</v>
      </c>
      <c r="H50" s="131"/>
      <c r="I50" s="131"/>
      <c r="J50" s="131"/>
    </row>
    <row r="51" spans="2:10" ht="18" customHeight="1">
      <c r="B51" s="203" t="s">
        <v>8</v>
      </c>
      <c r="C51" s="204" t="s">
        <v>58</v>
      </c>
      <c r="D51" s="204" t="s">
        <v>59</v>
      </c>
      <c r="E51" s="204" t="s">
        <v>60</v>
      </c>
      <c r="F51" s="201"/>
      <c r="H51" s="131"/>
      <c r="I51" s="131"/>
      <c r="J51" s="131"/>
    </row>
    <row r="52" spans="2:10">
      <c r="B52" s="207" t="s">
        <v>163</v>
      </c>
      <c r="C52" s="37">
        <v>0</v>
      </c>
      <c r="D52" s="37">
        <v>5000</v>
      </c>
      <c r="E52" s="37"/>
      <c r="F52" s="110"/>
      <c r="H52" s="131"/>
      <c r="I52" s="131"/>
      <c r="J52" s="131"/>
    </row>
    <row r="53" spans="2:10">
      <c r="B53" s="207" t="s">
        <v>164</v>
      </c>
      <c r="C53" s="37">
        <v>0</v>
      </c>
      <c r="D53" s="37">
        <v>28000</v>
      </c>
      <c r="E53" s="37"/>
      <c r="F53" s="110"/>
      <c r="H53" s="131"/>
      <c r="I53" s="131"/>
      <c r="J53" s="131"/>
    </row>
    <row r="54" spans="2:10" ht="18" customHeight="1">
      <c r="B54" s="207" t="s">
        <v>182</v>
      </c>
      <c r="C54" s="37">
        <v>0</v>
      </c>
      <c r="D54" s="37">
        <v>20000</v>
      </c>
      <c r="E54" s="37"/>
      <c r="F54" s="36"/>
      <c r="H54" s="131"/>
      <c r="I54" s="131"/>
      <c r="J54" s="131"/>
    </row>
    <row r="55" spans="2:10" ht="18" customHeight="1">
      <c r="B55" s="207" t="s">
        <v>200</v>
      </c>
      <c r="C55" s="37">
        <v>0</v>
      </c>
      <c r="D55" s="37">
        <v>133831.48000000001</v>
      </c>
      <c r="E55" s="37"/>
      <c r="F55" s="36"/>
      <c r="H55" s="131"/>
      <c r="I55" s="131"/>
      <c r="J55" s="131"/>
    </row>
    <row r="56" spans="2:10">
      <c r="B56" s="207" t="s">
        <v>201</v>
      </c>
      <c r="C56" s="37"/>
      <c r="D56" s="37">
        <v>98000</v>
      </c>
      <c r="E56" s="37"/>
      <c r="F56" s="110"/>
      <c r="H56" s="208"/>
      <c r="I56" s="131"/>
      <c r="J56" s="131"/>
    </row>
    <row r="57" spans="2:10" ht="18" customHeight="1">
      <c r="B57" s="207" t="s">
        <v>202</v>
      </c>
      <c r="C57" s="37"/>
      <c r="D57" s="37">
        <v>277000</v>
      </c>
      <c r="E57" s="37"/>
      <c r="F57" s="36"/>
      <c r="H57" s="131"/>
      <c r="I57" s="131"/>
      <c r="J57" s="131"/>
    </row>
    <row r="58" spans="2:10" ht="18" customHeight="1">
      <c r="B58" s="207" t="s">
        <v>203</v>
      </c>
      <c r="C58" s="37"/>
      <c r="D58" s="37">
        <v>198000</v>
      </c>
      <c r="E58" s="39"/>
      <c r="F58" s="36"/>
      <c r="H58" s="131"/>
      <c r="I58" s="131"/>
      <c r="J58" s="131"/>
    </row>
    <row r="59" spans="2:10" ht="18" customHeight="1">
      <c r="B59" s="207" t="s">
        <v>204</v>
      </c>
      <c r="C59" s="86"/>
      <c r="D59" s="86">
        <v>228000</v>
      </c>
      <c r="E59" s="39"/>
      <c r="F59" s="36"/>
      <c r="H59" s="131"/>
      <c r="I59" s="131"/>
      <c r="J59" s="131"/>
    </row>
    <row r="60" spans="2:10" ht="18" customHeight="1">
      <c r="B60" s="207" t="s">
        <v>205</v>
      </c>
      <c r="C60" s="37"/>
      <c r="D60" s="37">
        <v>199000</v>
      </c>
      <c r="E60" s="39"/>
      <c r="F60" s="36"/>
      <c r="G60" s="212"/>
      <c r="H60" s="131"/>
      <c r="I60" s="131"/>
      <c r="J60" s="131"/>
    </row>
    <row r="61" spans="2:10" ht="18" customHeight="1">
      <c r="B61" s="38"/>
      <c r="C61" s="86"/>
      <c r="D61" s="86"/>
      <c r="E61" s="39"/>
      <c r="F61" s="36"/>
      <c r="H61" s="131"/>
      <c r="I61" s="131"/>
      <c r="J61" s="131"/>
    </row>
    <row r="62" spans="2:10" ht="18" customHeight="1">
      <c r="B62" s="38"/>
      <c r="C62" s="37"/>
      <c r="D62" s="37"/>
      <c r="E62" s="39"/>
      <c r="F62" s="36"/>
      <c r="H62" s="131"/>
      <c r="I62" s="131"/>
      <c r="J62" s="131"/>
    </row>
    <row r="63" spans="2:10" ht="18" customHeight="1">
      <c r="B63" s="173"/>
      <c r="C63" s="37"/>
      <c r="D63" s="37"/>
      <c r="E63" s="39"/>
      <c r="F63" s="36"/>
      <c r="H63" s="131"/>
      <c r="I63" s="131"/>
      <c r="J63" s="131"/>
    </row>
    <row r="64" spans="2:10" ht="18" customHeight="1">
      <c r="B64" s="193"/>
      <c r="C64" s="86"/>
      <c r="D64" s="86"/>
      <c r="E64" s="39"/>
      <c r="F64" s="36"/>
      <c r="H64" s="131"/>
      <c r="I64" s="131"/>
      <c r="J64" s="131"/>
    </row>
    <row r="65" spans="2:7" s="156" customFormat="1" ht="20.25" customHeight="1" thickBot="1">
      <c r="B65" s="195" t="s">
        <v>166</v>
      </c>
      <c r="C65" s="174">
        <f>SUM(C64:C64)</f>
        <v>0</v>
      </c>
      <c r="D65" s="174">
        <f>SUM(D52:D61)</f>
        <v>1186831.48</v>
      </c>
      <c r="E65" s="174"/>
      <c r="F65" s="197"/>
    </row>
    <row r="66" spans="2:7" ht="18" thickTop="1"/>
    <row r="68" spans="2:7" ht="18" customHeight="1">
      <c r="B68" s="206" t="s">
        <v>273</v>
      </c>
    </row>
    <row r="69" spans="2:7" ht="18" customHeight="1">
      <c r="B69" s="203" t="s">
        <v>8</v>
      </c>
      <c r="C69" s="204" t="s">
        <v>58</v>
      </c>
      <c r="D69" s="204" t="s">
        <v>59</v>
      </c>
      <c r="E69" s="204" t="s">
        <v>60</v>
      </c>
      <c r="F69" s="201"/>
    </row>
    <row r="70" spans="2:7" ht="18" customHeight="1">
      <c r="B70" s="188" t="s">
        <v>61</v>
      </c>
      <c r="C70" s="209">
        <v>9751.5</v>
      </c>
      <c r="D70" s="209">
        <v>3678.26</v>
      </c>
      <c r="E70" s="189"/>
      <c r="F70" s="36"/>
    </row>
    <row r="71" spans="2:7" ht="18" customHeight="1">
      <c r="B71" s="191" t="s">
        <v>62</v>
      </c>
      <c r="C71" s="37">
        <v>0</v>
      </c>
      <c r="D71" s="37">
        <v>0</v>
      </c>
      <c r="E71" s="37"/>
      <c r="F71" s="210"/>
    </row>
    <row r="72" spans="2:7" ht="18" customHeight="1">
      <c r="B72" s="191" t="s">
        <v>153</v>
      </c>
      <c r="C72" s="37">
        <v>0</v>
      </c>
      <c r="D72" s="37">
        <v>0</v>
      </c>
      <c r="E72" s="37"/>
      <c r="F72" s="36"/>
    </row>
    <row r="73" spans="2:7" ht="18" customHeight="1">
      <c r="B73" s="191" t="s">
        <v>155</v>
      </c>
      <c r="C73" s="37">
        <v>31.74</v>
      </c>
      <c r="D73" s="37">
        <v>5022.12</v>
      </c>
      <c r="E73" s="37"/>
      <c r="F73" s="36"/>
    </row>
    <row r="74" spans="2:7" ht="18" customHeight="1">
      <c r="B74" s="191" t="s">
        <v>156</v>
      </c>
      <c r="C74" s="37">
        <v>11511</v>
      </c>
      <c r="D74" s="37">
        <v>11511</v>
      </c>
      <c r="E74" s="37"/>
      <c r="F74" s="210"/>
    </row>
    <row r="75" spans="2:7" ht="18" customHeight="1">
      <c r="B75" s="191" t="s">
        <v>70</v>
      </c>
      <c r="C75" s="37">
        <v>0</v>
      </c>
      <c r="D75" s="37">
        <v>0</v>
      </c>
      <c r="E75" s="37"/>
      <c r="F75" s="211"/>
      <c r="G75" s="212"/>
    </row>
    <row r="76" spans="2:7" ht="18" customHeight="1">
      <c r="B76" s="191" t="s">
        <v>157</v>
      </c>
      <c r="C76" s="37">
        <v>0</v>
      </c>
      <c r="D76" s="37">
        <v>0</v>
      </c>
      <c r="E76" s="37"/>
      <c r="F76" s="36"/>
    </row>
    <row r="77" spans="2:7" ht="18" customHeight="1">
      <c r="B77" s="191" t="s">
        <v>150</v>
      </c>
      <c r="C77" s="37">
        <v>0</v>
      </c>
      <c r="D77" s="37">
        <v>0</v>
      </c>
      <c r="E77" s="37"/>
      <c r="F77" s="36"/>
    </row>
    <row r="78" spans="2:7" ht="18" customHeight="1">
      <c r="B78" s="192"/>
      <c r="C78" s="37"/>
      <c r="D78" s="86"/>
      <c r="E78" s="37"/>
      <c r="F78" s="36"/>
    </row>
    <row r="79" spans="2:7" ht="18" customHeight="1">
      <c r="B79" s="193"/>
      <c r="C79" s="86"/>
      <c r="D79" s="86"/>
      <c r="E79" s="39"/>
      <c r="F79" s="36"/>
    </row>
    <row r="80" spans="2:7" s="156" customFormat="1" ht="18" customHeight="1" thickBot="1">
      <c r="B80" s="195" t="s">
        <v>27</v>
      </c>
      <c r="C80" s="174">
        <f>SUM(C70:C78)</f>
        <v>21294.239999999998</v>
      </c>
      <c r="D80" s="174">
        <f>SUM(D70:D78)</f>
        <v>20211.38</v>
      </c>
      <c r="E80" s="174">
        <f>SUM(E70:E79)</f>
        <v>0</v>
      </c>
      <c r="F80" s="197"/>
    </row>
    <row r="81" spans="2:25" ht="18" thickTop="1"/>
    <row r="84" spans="2:25">
      <c r="B84" s="199" t="s">
        <v>198</v>
      </c>
      <c r="G84" s="200"/>
      <c r="H84" s="201"/>
      <c r="I84" s="201"/>
      <c r="J84" s="201"/>
    </row>
    <row r="85" spans="2:25">
      <c r="B85" s="199" t="s">
        <v>197</v>
      </c>
      <c r="G85" s="131"/>
      <c r="H85" s="131"/>
      <c r="I85" s="131"/>
      <c r="J85" s="131"/>
      <c r="K85" s="131"/>
      <c r="L85" s="131"/>
      <c r="M85" s="131"/>
      <c r="N85" s="131"/>
      <c r="O85" s="131"/>
      <c r="P85" s="131"/>
      <c r="Q85" s="131"/>
      <c r="R85" s="131"/>
      <c r="S85" s="131"/>
      <c r="T85" s="131"/>
      <c r="U85" s="131"/>
      <c r="V85" s="131"/>
      <c r="W85" s="131"/>
      <c r="X85" s="131"/>
      <c r="Y85" s="131"/>
    </row>
    <row r="98" spans="2:6">
      <c r="B98" s="202" t="s">
        <v>231</v>
      </c>
      <c r="F98" s="110"/>
    </row>
    <row r="99" spans="2:6" ht="17.25" customHeight="1">
      <c r="B99" s="203" t="s">
        <v>8</v>
      </c>
      <c r="C99" s="204" t="s">
        <v>232</v>
      </c>
      <c r="D99" s="204" t="s">
        <v>57</v>
      </c>
      <c r="E99" s="205" t="s">
        <v>233</v>
      </c>
      <c r="F99" s="201"/>
    </row>
    <row r="100" spans="2:6" ht="19.5" customHeight="1">
      <c r="B100" s="188" t="s">
        <v>42</v>
      </c>
      <c r="C100" s="189">
        <v>0</v>
      </c>
      <c r="D100" s="189">
        <v>0</v>
      </c>
      <c r="E100" s="190">
        <f>SUM(C100+D100)</f>
        <v>0</v>
      </c>
      <c r="F100" s="36"/>
    </row>
    <row r="101" spans="2:6" ht="17.25" customHeight="1">
      <c r="B101" s="191" t="s">
        <v>43</v>
      </c>
      <c r="C101" s="37">
        <v>497.26</v>
      </c>
      <c r="D101" s="37">
        <v>0</v>
      </c>
      <c r="E101" s="37">
        <f t="shared" ref="E101:E126" si="1">SUM(C101+D101)</f>
        <v>497.26</v>
      </c>
      <c r="F101" s="36"/>
    </row>
    <row r="102" spans="2:6" ht="17.25" customHeight="1">
      <c r="B102" s="191" t="s">
        <v>44</v>
      </c>
      <c r="C102" s="37">
        <v>0</v>
      </c>
      <c r="D102" s="37">
        <v>0</v>
      </c>
      <c r="E102" s="37">
        <f t="shared" si="1"/>
        <v>0</v>
      </c>
      <c r="F102" s="36"/>
    </row>
    <row r="103" spans="2:6" ht="17.25" customHeight="1">
      <c r="B103" s="191" t="s">
        <v>188</v>
      </c>
      <c r="C103" s="37">
        <v>0</v>
      </c>
      <c r="D103" s="37">
        <v>0</v>
      </c>
      <c r="E103" s="37">
        <f t="shared" si="1"/>
        <v>0</v>
      </c>
      <c r="F103" s="36"/>
    </row>
    <row r="104" spans="2:6" ht="17.25" customHeight="1">
      <c r="B104" s="191" t="s">
        <v>73</v>
      </c>
      <c r="C104" s="37">
        <v>0</v>
      </c>
      <c r="D104" s="37">
        <v>0</v>
      </c>
      <c r="E104" s="37">
        <f t="shared" si="1"/>
        <v>0</v>
      </c>
      <c r="F104" s="36"/>
    </row>
    <row r="105" spans="2:6" ht="17.25" customHeight="1">
      <c r="B105" s="191" t="s">
        <v>46</v>
      </c>
      <c r="C105" s="37">
        <v>55</v>
      </c>
      <c r="D105" s="37">
        <v>27</v>
      </c>
      <c r="E105" s="37">
        <f t="shared" si="1"/>
        <v>82</v>
      </c>
      <c r="F105" s="36"/>
    </row>
    <row r="106" spans="2:6" ht="17.25" customHeight="1">
      <c r="B106" s="191" t="s">
        <v>75</v>
      </c>
      <c r="C106" s="37">
        <v>0</v>
      </c>
      <c r="D106" s="37">
        <v>10</v>
      </c>
      <c r="E106" s="37">
        <f t="shared" si="1"/>
        <v>10</v>
      </c>
      <c r="F106" s="36"/>
    </row>
    <row r="107" spans="2:6" ht="17.25" customHeight="1">
      <c r="B107" s="191" t="s">
        <v>64</v>
      </c>
      <c r="C107" s="37">
        <v>20</v>
      </c>
      <c r="D107" s="37">
        <v>0</v>
      </c>
      <c r="E107" s="37">
        <f t="shared" si="1"/>
        <v>20</v>
      </c>
      <c r="F107" s="36"/>
    </row>
    <row r="108" spans="2:6" ht="17.25" customHeight="1">
      <c r="B108" s="191" t="s">
        <v>65</v>
      </c>
      <c r="C108" s="37">
        <v>200</v>
      </c>
      <c r="D108" s="37">
        <v>0</v>
      </c>
      <c r="E108" s="37">
        <f t="shared" si="1"/>
        <v>200</v>
      </c>
      <c r="F108" s="36"/>
    </row>
    <row r="109" spans="2:6" ht="17.25" customHeight="1">
      <c r="B109" s="191" t="s">
        <v>160</v>
      </c>
      <c r="C109" s="37">
        <v>0</v>
      </c>
      <c r="D109" s="37">
        <v>0</v>
      </c>
      <c r="E109" s="37">
        <f t="shared" si="1"/>
        <v>0</v>
      </c>
      <c r="F109" s="36"/>
    </row>
    <row r="110" spans="2:6" ht="17.25" customHeight="1">
      <c r="B110" s="191" t="s">
        <v>74</v>
      </c>
      <c r="C110" s="37">
        <v>0</v>
      </c>
      <c r="D110" s="37">
        <v>11500</v>
      </c>
      <c r="E110" s="37">
        <f t="shared" si="1"/>
        <v>11500</v>
      </c>
      <c r="F110" s="36"/>
    </row>
    <row r="111" spans="2:6" ht="17.25" customHeight="1">
      <c r="B111" s="191" t="s">
        <v>55</v>
      </c>
      <c r="C111" s="37">
        <v>50</v>
      </c>
      <c r="D111" s="37">
        <v>25</v>
      </c>
      <c r="E111" s="37">
        <f t="shared" si="1"/>
        <v>75</v>
      </c>
      <c r="F111" s="36"/>
    </row>
    <row r="112" spans="2:6" ht="17.25" customHeight="1">
      <c r="B112" s="191" t="s">
        <v>56</v>
      </c>
      <c r="C112" s="37">
        <v>0</v>
      </c>
      <c r="D112" s="37">
        <v>0</v>
      </c>
      <c r="E112" s="37">
        <f t="shared" si="1"/>
        <v>0</v>
      </c>
      <c r="F112" s="36"/>
    </row>
    <row r="113" spans="2:6" ht="17.25" customHeight="1">
      <c r="B113" s="192" t="s">
        <v>53</v>
      </c>
      <c r="C113" s="37">
        <v>0</v>
      </c>
      <c r="D113" s="37">
        <v>0</v>
      </c>
      <c r="E113" s="37">
        <f t="shared" si="1"/>
        <v>0</v>
      </c>
      <c r="F113" s="36"/>
    </row>
    <row r="114" spans="2:6" ht="17.25" customHeight="1">
      <c r="B114" s="192" t="s">
        <v>77</v>
      </c>
      <c r="C114" s="37">
        <v>2000</v>
      </c>
      <c r="D114" s="37">
        <v>0</v>
      </c>
      <c r="E114" s="37">
        <f t="shared" si="1"/>
        <v>2000</v>
      </c>
      <c r="F114" s="36"/>
    </row>
    <row r="115" spans="2:6" ht="17.25" customHeight="1">
      <c r="B115" s="192" t="s">
        <v>76</v>
      </c>
      <c r="C115" s="37">
        <v>0</v>
      </c>
      <c r="D115" s="37">
        <v>0</v>
      </c>
      <c r="E115" s="37">
        <f t="shared" si="1"/>
        <v>0</v>
      </c>
      <c r="F115" s="36"/>
    </row>
    <row r="116" spans="2:6" ht="17.25" customHeight="1">
      <c r="B116" s="192" t="s">
        <v>158</v>
      </c>
      <c r="C116" s="37">
        <v>0</v>
      </c>
      <c r="D116" s="37">
        <v>99258.32</v>
      </c>
      <c r="E116" s="37">
        <f t="shared" si="1"/>
        <v>99258.32</v>
      </c>
      <c r="F116" s="36"/>
    </row>
    <row r="117" spans="2:6" ht="17.25" customHeight="1">
      <c r="B117" s="191" t="s">
        <v>66</v>
      </c>
      <c r="C117" s="37">
        <v>807681.19</v>
      </c>
      <c r="D117" s="37">
        <v>829775.19</v>
      </c>
      <c r="E117" s="37">
        <f t="shared" si="1"/>
        <v>1637456.38</v>
      </c>
      <c r="F117" s="36"/>
    </row>
    <row r="118" spans="2:6" ht="17.25" customHeight="1">
      <c r="B118" s="191" t="s">
        <v>67</v>
      </c>
      <c r="C118" s="37">
        <v>136065.98000000001</v>
      </c>
      <c r="D118" s="37">
        <v>193008.11</v>
      </c>
      <c r="E118" s="37">
        <f t="shared" si="1"/>
        <v>329074.08999999997</v>
      </c>
      <c r="F118" s="36"/>
    </row>
    <row r="119" spans="2:6" ht="17.25" customHeight="1">
      <c r="B119" s="38" t="s">
        <v>48</v>
      </c>
      <c r="C119" s="111">
        <v>0</v>
      </c>
      <c r="D119" s="37">
        <v>21094.12</v>
      </c>
      <c r="E119" s="37">
        <f t="shared" si="1"/>
        <v>21094.12</v>
      </c>
      <c r="F119" s="36"/>
    </row>
    <row r="120" spans="2:6" ht="17.25" customHeight="1">
      <c r="B120" s="191" t="s">
        <v>49</v>
      </c>
      <c r="C120" s="37">
        <v>0</v>
      </c>
      <c r="D120" s="37">
        <v>0</v>
      </c>
      <c r="E120" s="37">
        <f t="shared" si="1"/>
        <v>0</v>
      </c>
      <c r="F120" s="36"/>
    </row>
    <row r="121" spans="2:6" ht="17.25" customHeight="1">
      <c r="B121" s="191" t="s">
        <v>50</v>
      </c>
      <c r="C121" s="37">
        <v>375552.6</v>
      </c>
      <c r="D121" s="37">
        <v>367217.61</v>
      </c>
      <c r="E121" s="37">
        <f t="shared" si="1"/>
        <v>742770.21</v>
      </c>
      <c r="F121" s="36"/>
    </row>
    <row r="122" spans="2:6" ht="17.25" customHeight="1">
      <c r="B122" s="192" t="s">
        <v>54</v>
      </c>
      <c r="C122" s="37">
        <v>0</v>
      </c>
      <c r="D122" s="37">
        <v>0</v>
      </c>
      <c r="E122" s="37">
        <f t="shared" si="1"/>
        <v>0</v>
      </c>
      <c r="F122" s="36"/>
    </row>
    <row r="123" spans="2:6" ht="17.25" customHeight="1">
      <c r="B123" s="191" t="s">
        <v>51</v>
      </c>
      <c r="C123" s="37">
        <v>11585.92</v>
      </c>
      <c r="D123" s="37">
        <v>0</v>
      </c>
      <c r="E123" s="37">
        <f t="shared" si="1"/>
        <v>11585.92</v>
      </c>
      <c r="F123" s="36"/>
    </row>
    <row r="124" spans="2:6" ht="17.25" customHeight="1">
      <c r="B124" s="191" t="s">
        <v>47</v>
      </c>
      <c r="C124" s="37">
        <v>44513</v>
      </c>
      <c r="D124" s="37">
        <v>42991</v>
      </c>
      <c r="E124" s="37">
        <f t="shared" si="1"/>
        <v>87504</v>
      </c>
      <c r="F124" s="36"/>
    </row>
    <row r="125" spans="2:6" ht="17.25" customHeight="1">
      <c r="B125" s="191" t="s">
        <v>52</v>
      </c>
      <c r="C125" s="37">
        <v>5566536</v>
      </c>
      <c r="D125" s="37">
        <v>0</v>
      </c>
      <c r="E125" s="37">
        <f t="shared" si="1"/>
        <v>5566536</v>
      </c>
      <c r="F125" s="36"/>
    </row>
    <row r="126" spans="2:6" ht="17.25" customHeight="1">
      <c r="B126" s="193" t="s">
        <v>135</v>
      </c>
      <c r="C126" s="37">
        <v>0</v>
      </c>
      <c r="D126" s="194">
        <v>0</v>
      </c>
      <c r="E126" s="194">
        <f t="shared" si="1"/>
        <v>0</v>
      </c>
      <c r="F126" s="36"/>
    </row>
    <row r="127" spans="2:6" s="156" customFormat="1" ht="17.25" customHeight="1" thickBot="1">
      <c r="B127" s="195" t="s">
        <v>165</v>
      </c>
      <c r="C127" s="174">
        <f ca="1">SUM(C100:C127)</f>
        <v>6944756.9499999993</v>
      </c>
      <c r="D127" s="174">
        <f>SUM(D100:D126)</f>
        <v>1564906.35</v>
      </c>
      <c r="E127" s="196">
        <f>SUM(E100:E126)</f>
        <v>8509663.3000000007</v>
      </c>
      <c r="F127" s="197"/>
    </row>
    <row r="128" spans="2:6" s="156" customFormat="1" ht="17.25" customHeight="1" thickTop="1">
      <c r="B128" s="198"/>
      <c r="D128" s="197"/>
      <c r="E128" s="197"/>
      <c r="F128" s="197"/>
    </row>
    <row r="129" spans="2:25" s="156" customFormat="1" ht="17.25" customHeight="1">
      <c r="B129" s="198"/>
      <c r="C129" s="197"/>
      <c r="D129" s="197"/>
      <c r="E129" s="197"/>
      <c r="F129" s="197"/>
    </row>
    <row r="130" spans="2:25" s="156" customFormat="1" ht="17.25" customHeight="1">
      <c r="B130" s="198"/>
      <c r="C130" s="197"/>
      <c r="D130" s="197"/>
      <c r="E130" s="197"/>
      <c r="F130" s="197"/>
    </row>
    <row r="131" spans="2:25">
      <c r="B131" s="199" t="s">
        <v>198</v>
      </c>
      <c r="G131" s="200"/>
      <c r="H131" s="201"/>
      <c r="I131" s="201"/>
      <c r="J131" s="201"/>
    </row>
    <row r="132" spans="2:25">
      <c r="B132" s="199" t="s">
        <v>197</v>
      </c>
      <c r="G132" s="131"/>
      <c r="H132" s="131"/>
      <c r="I132" s="131"/>
      <c r="J132" s="131"/>
      <c r="K132" s="131"/>
      <c r="L132" s="131"/>
      <c r="M132" s="131"/>
      <c r="N132" s="131"/>
      <c r="O132" s="131"/>
      <c r="P132" s="131"/>
      <c r="Q132" s="131"/>
      <c r="R132" s="131"/>
      <c r="S132" s="131"/>
      <c r="T132" s="131"/>
      <c r="U132" s="131"/>
      <c r="V132" s="131"/>
      <c r="W132" s="131"/>
      <c r="X132" s="131"/>
      <c r="Y132" s="131"/>
    </row>
    <row r="133" spans="2:25" s="156" customFormat="1" ht="17.25" customHeight="1">
      <c r="B133" s="198"/>
      <c r="C133" s="197"/>
      <c r="D133" s="197"/>
      <c r="E133" s="197"/>
      <c r="F133" s="197"/>
    </row>
    <row r="134" spans="2:25" s="156" customFormat="1" ht="17.25" customHeight="1">
      <c r="B134" s="198"/>
      <c r="C134" s="197"/>
      <c r="D134" s="197"/>
      <c r="E134" s="197"/>
      <c r="F134" s="197"/>
    </row>
    <row r="135" spans="2:25" s="156" customFormat="1" ht="17.25" customHeight="1">
      <c r="B135" s="198"/>
      <c r="C135" s="197"/>
      <c r="D135" s="197"/>
      <c r="E135" s="197"/>
      <c r="F135" s="197"/>
    </row>
    <row r="136" spans="2:25" s="156" customFormat="1" ht="17.25" customHeight="1">
      <c r="B136" s="198"/>
      <c r="C136" s="197"/>
      <c r="D136" s="197"/>
      <c r="E136" s="197"/>
      <c r="F136" s="197"/>
    </row>
    <row r="137" spans="2:25" s="156" customFormat="1" ht="17.25" customHeight="1">
      <c r="B137" s="198"/>
      <c r="C137" s="197"/>
      <c r="D137" s="197"/>
      <c r="E137" s="197"/>
      <c r="F137" s="197"/>
    </row>
    <row r="138" spans="2:25" s="156" customFormat="1" ht="17.25" customHeight="1">
      <c r="B138" s="198"/>
      <c r="C138" s="197"/>
      <c r="D138" s="197"/>
      <c r="E138" s="197"/>
      <c r="F138" s="197"/>
    </row>
    <row r="139" spans="2:25" s="156" customFormat="1" ht="17.25" customHeight="1">
      <c r="B139" s="198"/>
      <c r="C139" s="197"/>
      <c r="D139" s="197"/>
      <c r="E139" s="197"/>
      <c r="F139" s="197"/>
    </row>
    <row r="140" spans="2:25" s="156" customFormat="1" ht="17.25" customHeight="1">
      <c r="B140" s="198"/>
      <c r="C140" s="197"/>
      <c r="D140" s="197"/>
      <c r="E140" s="197"/>
      <c r="F140" s="197"/>
    </row>
    <row r="141" spans="2:25" s="156" customFormat="1" ht="17.25" customHeight="1">
      <c r="B141" s="198"/>
      <c r="C141" s="197"/>
      <c r="D141" s="197"/>
      <c r="E141" s="197"/>
      <c r="F141" s="197"/>
    </row>
    <row r="142" spans="2:25" s="156" customFormat="1" ht="17.25" customHeight="1">
      <c r="B142" s="198"/>
      <c r="C142" s="197"/>
      <c r="D142" s="197"/>
      <c r="E142" s="197"/>
      <c r="F142" s="197"/>
    </row>
    <row r="143" spans="2:25" s="156" customFormat="1" ht="17.25" customHeight="1">
      <c r="B143" s="198"/>
      <c r="C143" s="197"/>
      <c r="D143" s="197"/>
      <c r="E143" s="197"/>
      <c r="F143" s="197"/>
    </row>
    <row r="144" spans="2:25" s="156" customFormat="1" ht="17.25" customHeight="1">
      <c r="B144" s="198"/>
      <c r="C144" s="197"/>
      <c r="D144" s="197"/>
      <c r="E144" s="197"/>
      <c r="F144" s="197"/>
    </row>
    <row r="145" spans="2:10" s="156" customFormat="1" ht="17.25" customHeight="1">
      <c r="B145" s="198"/>
      <c r="C145" s="197"/>
      <c r="D145" s="197"/>
      <c r="E145" s="197"/>
      <c r="F145" s="197"/>
    </row>
    <row r="146" spans="2:10" s="156" customFormat="1" ht="17.25" customHeight="1">
      <c r="B146" s="198"/>
      <c r="C146" s="197"/>
      <c r="D146" s="197"/>
      <c r="E146" s="197"/>
      <c r="F146" s="197"/>
    </row>
    <row r="147" spans="2:10" ht="20.25" customHeight="1">
      <c r="B147" s="206" t="s">
        <v>234</v>
      </c>
      <c r="H147" s="131"/>
      <c r="I147" s="131"/>
      <c r="J147" s="131"/>
    </row>
    <row r="148" spans="2:10" ht="18" customHeight="1">
      <c r="B148" s="203" t="s">
        <v>8</v>
      </c>
      <c r="C148" s="204" t="s">
        <v>58</v>
      </c>
      <c r="D148" s="204" t="s">
        <v>59</v>
      </c>
      <c r="E148" s="204" t="s">
        <v>60</v>
      </c>
      <c r="F148" s="201"/>
      <c r="H148" s="131"/>
      <c r="I148" s="131"/>
      <c r="J148" s="131"/>
    </row>
    <row r="149" spans="2:10">
      <c r="B149" s="38" t="s">
        <v>236</v>
      </c>
      <c r="C149" s="37">
        <v>0</v>
      </c>
      <c r="D149" s="37">
        <v>166000</v>
      </c>
      <c r="E149" s="37"/>
      <c r="F149" s="110"/>
      <c r="H149" s="131"/>
      <c r="I149" s="131"/>
      <c r="J149" s="131"/>
    </row>
    <row r="150" spans="2:10">
      <c r="B150" s="38" t="s">
        <v>237</v>
      </c>
      <c r="C150" s="37">
        <v>0</v>
      </c>
      <c r="D150" s="37">
        <v>445000</v>
      </c>
      <c r="E150" s="37"/>
      <c r="F150" s="110"/>
      <c r="H150" s="131"/>
      <c r="I150" s="131"/>
      <c r="J150" s="131"/>
    </row>
    <row r="151" spans="2:10" ht="18" customHeight="1">
      <c r="B151" s="38" t="s">
        <v>238</v>
      </c>
      <c r="C151" s="37">
        <v>0</v>
      </c>
      <c r="D151" s="37">
        <v>39000</v>
      </c>
      <c r="E151" s="37"/>
      <c r="F151" s="36"/>
      <c r="H151" s="131"/>
      <c r="I151" s="131"/>
      <c r="J151" s="131"/>
    </row>
    <row r="152" spans="2:10" ht="18" customHeight="1">
      <c r="B152" s="193"/>
      <c r="C152" s="86"/>
      <c r="D152" s="86"/>
      <c r="E152" s="39"/>
      <c r="F152" s="36"/>
      <c r="H152" s="131"/>
      <c r="I152" s="131"/>
      <c r="J152" s="131"/>
    </row>
    <row r="153" spans="2:10" s="156" customFormat="1" ht="20.25" customHeight="1" thickBot="1">
      <c r="B153" s="195" t="s">
        <v>166</v>
      </c>
      <c r="C153" s="174">
        <f>SUM(C152:C152)</f>
        <v>0</v>
      </c>
      <c r="D153" s="174">
        <f>SUM(D149:D152)</f>
        <v>650000</v>
      </c>
      <c r="E153" s="174"/>
      <c r="F153" s="197"/>
    </row>
    <row r="154" spans="2:10" s="156" customFormat="1" ht="20.25" customHeight="1" thickTop="1">
      <c r="B154" s="198"/>
      <c r="C154" s="197"/>
      <c r="D154" s="197"/>
      <c r="E154" s="197"/>
      <c r="F154" s="197"/>
    </row>
    <row r="155" spans="2:10" ht="20.25" customHeight="1">
      <c r="B155" s="206" t="s">
        <v>235</v>
      </c>
      <c r="H155" s="131"/>
      <c r="I155" s="131"/>
      <c r="J155" s="131"/>
    </row>
    <row r="156" spans="2:10" ht="18" customHeight="1">
      <c r="B156" s="203" t="s">
        <v>8</v>
      </c>
      <c r="C156" s="204" t="s">
        <v>58</v>
      </c>
      <c r="D156" s="204" t="s">
        <v>59</v>
      </c>
      <c r="E156" s="204" t="s">
        <v>60</v>
      </c>
      <c r="F156" s="201"/>
      <c r="H156" s="131"/>
      <c r="I156" s="131"/>
      <c r="J156" s="131"/>
    </row>
    <row r="157" spans="2:10">
      <c r="B157" s="207" t="s">
        <v>163</v>
      </c>
      <c r="C157" s="37">
        <v>0</v>
      </c>
      <c r="D157" s="37">
        <v>5000</v>
      </c>
      <c r="E157" s="37"/>
      <c r="F157" s="110"/>
      <c r="H157" s="131"/>
      <c r="I157" s="131"/>
      <c r="J157" s="131"/>
    </row>
    <row r="158" spans="2:10">
      <c r="B158" s="207" t="s">
        <v>164</v>
      </c>
      <c r="C158" s="37">
        <v>0</v>
      </c>
      <c r="D158" s="37">
        <v>28000</v>
      </c>
      <c r="E158" s="37"/>
      <c r="F158" s="110"/>
      <c r="H158" s="131"/>
      <c r="I158" s="131"/>
      <c r="J158" s="131"/>
    </row>
    <row r="159" spans="2:10" ht="18" customHeight="1">
      <c r="B159" s="207" t="s">
        <v>182</v>
      </c>
      <c r="C159" s="37">
        <v>0</v>
      </c>
      <c r="D159" s="37">
        <v>20000</v>
      </c>
      <c r="E159" s="37"/>
      <c r="F159" s="36"/>
      <c r="H159" s="131"/>
      <c r="I159" s="131"/>
      <c r="J159" s="131"/>
    </row>
    <row r="160" spans="2:10" ht="18" customHeight="1">
      <c r="B160" s="207" t="s">
        <v>200</v>
      </c>
      <c r="C160" s="37">
        <v>0</v>
      </c>
      <c r="D160" s="37">
        <v>133831.48000000001</v>
      </c>
      <c r="E160" s="37"/>
      <c r="F160" s="36"/>
      <c r="H160" s="131"/>
      <c r="I160" s="131"/>
      <c r="J160" s="131"/>
    </row>
    <row r="161" spans="2:25">
      <c r="B161" s="207" t="s">
        <v>201</v>
      </c>
      <c r="C161" s="37"/>
      <c r="D161" s="37">
        <v>98000</v>
      </c>
      <c r="E161" s="37"/>
      <c r="F161" s="110"/>
      <c r="H161" s="208"/>
      <c r="I161" s="131"/>
      <c r="J161" s="131"/>
    </row>
    <row r="162" spans="2:25" ht="18" customHeight="1">
      <c r="B162" s="207" t="s">
        <v>202</v>
      </c>
      <c r="C162" s="37"/>
      <c r="D162" s="37">
        <v>277000</v>
      </c>
      <c r="E162" s="37"/>
      <c r="F162" s="36"/>
      <c r="H162" s="131"/>
      <c r="I162" s="131"/>
      <c r="J162" s="131"/>
    </row>
    <row r="163" spans="2:25" ht="18" customHeight="1">
      <c r="B163" s="207" t="s">
        <v>203</v>
      </c>
      <c r="C163" s="37"/>
      <c r="D163" s="37">
        <v>198000</v>
      </c>
      <c r="E163" s="39"/>
      <c r="F163" s="36"/>
      <c r="H163" s="131"/>
      <c r="I163" s="131"/>
      <c r="J163" s="131"/>
    </row>
    <row r="164" spans="2:25" ht="18" customHeight="1">
      <c r="B164" s="207" t="s">
        <v>204</v>
      </c>
      <c r="C164" s="86"/>
      <c r="D164" s="86">
        <v>228000</v>
      </c>
      <c r="E164" s="39"/>
      <c r="F164" s="36"/>
      <c r="H164" s="131"/>
      <c r="I164" s="131"/>
      <c r="J164" s="131"/>
    </row>
    <row r="165" spans="2:25" ht="18" customHeight="1">
      <c r="B165" s="207" t="s">
        <v>205</v>
      </c>
      <c r="C165" s="37"/>
      <c r="D165" s="37">
        <v>199000</v>
      </c>
      <c r="E165" s="39"/>
      <c r="F165" s="36"/>
      <c r="H165" s="131"/>
      <c r="I165" s="131"/>
      <c r="J165" s="131"/>
    </row>
    <row r="166" spans="2:25" ht="18" customHeight="1">
      <c r="B166" s="38" t="s">
        <v>236</v>
      </c>
      <c r="C166" s="86"/>
      <c r="D166" s="37">
        <v>166000</v>
      </c>
      <c r="E166" s="39"/>
      <c r="F166" s="36"/>
      <c r="H166" s="131"/>
      <c r="I166" s="131"/>
      <c r="J166" s="131"/>
    </row>
    <row r="167" spans="2:25" ht="18" customHeight="1">
      <c r="B167" s="38" t="s">
        <v>237</v>
      </c>
      <c r="C167" s="37"/>
      <c r="D167" s="37">
        <v>445000</v>
      </c>
      <c r="E167" s="39"/>
      <c r="F167" s="36"/>
      <c r="H167" s="131"/>
      <c r="I167" s="131"/>
      <c r="J167" s="131"/>
    </row>
    <row r="168" spans="2:25" ht="18" customHeight="1">
      <c r="B168" s="38" t="s">
        <v>238</v>
      </c>
      <c r="C168" s="37"/>
      <c r="D168" s="37">
        <v>39000</v>
      </c>
      <c r="E168" s="39"/>
      <c r="F168" s="36"/>
      <c r="H168" s="131"/>
      <c r="I168" s="131"/>
      <c r="J168" s="131"/>
    </row>
    <row r="169" spans="2:25" ht="18" customHeight="1">
      <c r="B169" s="193"/>
      <c r="C169" s="86"/>
      <c r="D169" s="86"/>
      <c r="E169" s="39"/>
      <c r="F169" s="36"/>
      <c r="H169" s="131"/>
      <c r="I169" s="131"/>
      <c r="J169" s="131"/>
    </row>
    <row r="170" spans="2:25" s="156" customFormat="1" ht="20.25" customHeight="1" thickBot="1">
      <c r="B170" s="195" t="s">
        <v>166</v>
      </c>
      <c r="C170" s="174">
        <f>SUM(C169:C169)</f>
        <v>0</v>
      </c>
      <c r="D170" s="174">
        <f>SUM(D157:D169)</f>
        <v>1836831.48</v>
      </c>
      <c r="E170" s="174"/>
      <c r="F170" s="197"/>
    </row>
    <row r="171" spans="2:25" ht="18" thickTop="1"/>
    <row r="173" spans="2:25">
      <c r="B173" s="199" t="s">
        <v>198</v>
      </c>
      <c r="G173" s="200"/>
      <c r="H173" s="201"/>
      <c r="I173" s="201"/>
      <c r="J173" s="201"/>
    </row>
    <row r="174" spans="2:25">
      <c r="B174" s="199" t="s">
        <v>197</v>
      </c>
      <c r="G174" s="131"/>
      <c r="H174" s="131"/>
      <c r="I174" s="131"/>
      <c r="J174" s="131"/>
      <c r="K174" s="131"/>
      <c r="L174" s="131"/>
      <c r="M174" s="131"/>
      <c r="N174" s="131"/>
      <c r="O174" s="131"/>
      <c r="P174" s="131"/>
      <c r="Q174" s="131"/>
      <c r="R174" s="131"/>
      <c r="S174" s="131"/>
      <c r="T174" s="131"/>
      <c r="U174" s="131"/>
      <c r="V174" s="131"/>
      <c r="W174" s="131"/>
      <c r="X174" s="131"/>
      <c r="Y174" s="131"/>
    </row>
    <row r="175" spans="2:25">
      <c r="B175" s="199"/>
      <c r="G175" s="131"/>
      <c r="H175" s="131"/>
      <c r="I175" s="131"/>
      <c r="J175" s="131"/>
      <c r="K175" s="131"/>
      <c r="L175" s="131"/>
      <c r="M175" s="131"/>
      <c r="N175" s="131"/>
      <c r="O175" s="131"/>
      <c r="P175" s="131"/>
      <c r="Q175" s="131"/>
      <c r="R175" s="131"/>
      <c r="S175" s="131"/>
      <c r="T175" s="131"/>
      <c r="U175" s="131"/>
      <c r="V175" s="131"/>
      <c r="W175" s="131"/>
      <c r="X175" s="131"/>
      <c r="Y175" s="131"/>
    </row>
    <row r="176" spans="2:25">
      <c r="B176" s="199"/>
      <c r="G176" s="131"/>
      <c r="H176" s="131"/>
      <c r="I176" s="131"/>
      <c r="J176" s="131"/>
      <c r="K176" s="131"/>
      <c r="L176" s="131"/>
      <c r="M176" s="131"/>
      <c r="N176" s="131"/>
      <c r="O176" s="131"/>
      <c r="P176" s="131"/>
      <c r="Q176" s="131"/>
      <c r="R176" s="131"/>
      <c r="S176" s="131"/>
      <c r="T176" s="131"/>
      <c r="U176" s="131"/>
      <c r="V176" s="131"/>
      <c r="W176" s="131"/>
      <c r="X176" s="131"/>
      <c r="Y176" s="131"/>
    </row>
    <row r="177" spans="2:25">
      <c r="B177" s="199"/>
      <c r="G177" s="131"/>
      <c r="H177" s="131"/>
      <c r="I177" s="131"/>
      <c r="J177" s="131"/>
      <c r="K177" s="131"/>
      <c r="L177" s="131"/>
      <c r="M177" s="131"/>
      <c r="N177" s="131"/>
      <c r="O177" s="131"/>
      <c r="P177" s="131"/>
      <c r="Q177" s="131"/>
      <c r="R177" s="131"/>
      <c r="S177" s="131"/>
      <c r="T177" s="131"/>
      <c r="U177" s="131"/>
      <c r="V177" s="131"/>
      <c r="W177" s="131"/>
      <c r="X177" s="131"/>
      <c r="Y177" s="131"/>
    </row>
    <row r="178" spans="2:25">
      <c r="B178" s="199"/>
      <c r="G178" s="131"/>
      <c r="H178" s="131"/>
      <c r="I178" s="131"/>
      <c r="J178" s="131"/>
      <c r="K178" s="131"/>
      <c r="L178" s="131"/>
      <c r="M178" s="131"/>
      <c r="N178" s="131"/>
      <c r="O178" s="131"/>
      <c r="P178" s="131"/>
      <c r="Q178" s="131"/>
      <c r="R178" s="131"/>
      <c r="S178" s="131"/>
      <c r="T178" s="131"/>
      <c r="U178" s="131"/>
      <c r="V178" s="131"/>
      <c r="W178" s="131"/>
      <c r="X178" s="131"/>
      <c r="Y178" s="131"/>
    </row>
    <row r="179" spans="2:25">
      <c r="B179" s="199"/>
      <c r="G179" s="131"/>
      <c r="H179" s="131"/>
      <c r="I179" s="131"/>
      <c r="J179" s="131"/>
      <c r="K179" s="131"/>
      <c r="L179" s="131"/>
      <c r="M179" s="131"/>
      <c r="N179" s="131"/>
      <c r="O179" s="131"/>
      <c r="P179" s="131"/>
      <c r="Q179" s="131"/>
      <c r="R179" s="131"/>
      <c r="S179" s="131"/>
      <c r="T179" s="131"/>
      <c r="U179" s="131"/>
      <c r="V179" s="131"/>
      <c r="W179" s="131"/>
      <c r="X179" s="131"/>
      <c r="Y179" s="131"/>
    </row>
    <row r="180" spans="2:25">
      <c r="B180" s="199"/>
      <c r="G180" s="131"/>
      <c r="H180" s="131"/>
      <c r="I180" s="131"/>
      <c r="J180" s="131"/>
      <c r="K180" s="131"/>
      <c r="L180" s="131"/>
      <c r="M180" s="131"/>
      <c r="N180" s="131"/>
      <c r="O180" s="131"/>
      <c r="P180" s="131"/>
      <c r="Q180" s="131"/>
      <c r="R180" s="131"/>
      <c r="S180" s="131"/>
      <c r="T180" s="131"/>
      <c r="U180" s="131"/>
      <c r="V180" s="131"/>
      <c r="W180" s="131"/>
      <c r="X180" s="131"/>
      <c r="Y180" s="131"/>
    </row>
    <row r="181" spans="2:25">
      <c r="B181" s="199"/>
      <c r="G181" s="131"/>
      <c r="H181" s="131"/>
      <c r="I181" s="131"/>
      <c r="J181" s="131"/>
      <c r="K181" s="131"/>
      <c r="L181" s="131"/>
      <c r="M181" s="131"/>
      <c r="N181" s="131"/>
      <c r="O181" s="131"/>
      <c r="P181" s="131"/>
      <c r="Q181" s="131"/>
      <c r="R181" s="131"/>
      <c r="S181" s="131"/>
      <c r="T181" s="131"/>
      <c r="U181" s="131"/>
      <c r="V181" s="131"/>
      <c r="W181" s="131"/>
      <c r="X181" s="131"/>
      <c r="Y181" s="131"/>
    </row>
    <row r="182" spans="2:25">
      <c r="B182" s="199"/>
      <c r="G182" s="131"/>
      <c r="H182" s="131"/>
      <c r="I182" s="131"/>
      <c r="J182" s="131"/>
      <c r="K182" s="131"/>
      <c r="L182" s="131"/>
      <c r="M182" s="131"/>
      <c r="N182" s="131"/>
      <c r="O182" s="131"/>
      <c r="P182" s="131"/>
      <c r="Q182" s="131"/>
      <c r="R182" s="131"/>
      <c r="S182" s="131"/>
      <c r="T182" s="131"/>
      <c r="U182" s="131"/>
      <c r="V182" s="131"/>
      <c r="W182" s="131"/>
      <c r="X182" s="131"/>
      <c r="Y182" s="131"/>
    </row>
    <row r="183" spans="2:25">
      <c r="B183" s="199"/>
      <c r="G183" s="131"/>
      <c r="H183" s="131"/>
      <c r="I183" s="131"/>
      <c r="J183" s="131"/>
      <c r="K183" s="131"/>
      <c r="L183" s="131"/>
      <c r="M183" s="131"/>
      <c r="N183" s="131"/>
      <c r="O183" s="131"/>
      <c r="P183" s="131"/>
      <c r="Q183" s="131"/>
      <c r="R183" s="131"/>
      <c r="S183" s="131"/>
      <c r="T183" s="131"/>
      <c r="U183" s="131"/>
      <c r="V183" s="131"/>
      <c r="W183" s="131"/>
      <c r="X183" s="131"/>
      <c r="Y183" s="131"/>
    </row>
    <row r="184" spans="2:25">
      <c r="B184" s="199"/>
      <c r="G184" s="131"/>
      <c r="H184" s="131"/>
      <c r="I184" s="131"/>
      <c r="J184" s="131"/>
      <c r="K184" s="131"/>
      <c r="L184" s="131"/>
      <c r="M184" s="131"/>
      <c r="N184" s="131"/>
      <c r="O184" s="131"/>
      <c r="P184" s="131"/>
      <c r="Q184" s="131"/>
      <c r="R184" s="131"/>
      <c r="S184" s="131"/>
      <c r="T184" s="131"/>
      <c r="U184" s="131"/>
      <c r="V184" s="131"/>
      <c r="W184" s="131"/>
      <c r="X184" s="131"/>
      <c r="Y184" s="131"/>
    </row>
    <row r="185" spans="2:25">
      <c r="B185" s="199"/>
      <c r="G185" s="131"/>
      <c r="H185" s="131"/>
      <c r="I185" s="131"/>
      <c r="J185" s="131"/>
      <c r="K185" s="131"/>
      <c r="L185" s="131"/>
      <c r="M185" s="131"/>
      <c r="N185" s="131"/>
      <c r="O185" s="131"/>
      <c r="P185" s="131"/>
      <c r="Q185" s="131"/>
      <c r="R185" s="131"/>
      <c r="S185" s="131"/>
      <c r="T185" s="131"/>
      <c r="U185" s="131"/>
      <c r="V185" s="131"/>
      <c r="W185" s="131"/>
      <c r="X185" s="131"/>
      <c r="Y185" s="131"/>
    </row>
    <row r="186" spans="2:25">
      <c r="B186" s="199"/>
      <c r="G186" s="131"/>
      <c r="H186" s="131"/>
      <c r="I186" s="131"/>
      <c r="J186" s="131"/>
      <c r="K186" s="131"/>
      <c r="L186" s="131"/>
      <c r="M186" s="131"/>
      <c r="N186" s="131"/>
      <c r="O186" s="131"/>
      <c r="P186" s="131"/>
      <c r="Q186" s="131"/>
      <c r="R186" s="131"/>
      <c r="S186" s="131"/>
      <c r="T186" s="131"/>
      <c r="U186" s="131"/>
      <c r="V186" s="131"/>
      <c r="W186" s="131"/>
      <c r="X186" s="131"/>
      <c r="Y186" s="131"/>
    </row>
    <row r="187" spans="2:25">
      <c r="B187" s="199"/>
      <c r="G187" s="131"/>
      <c r="H187" s="131"/>
      <c r="I187" s="131"/>
      <c r="J187" s="131"/>
      <c r="K187" s="131"/>
      <c r="L187" s="131"/>
      <c r="M187" s="131"/>
      <c r="N187" s="131"/>
      <c r="O187" s="131"/>
      <c r="P187" s="131"/>
      <c r="Q187" s="131"/>
      <c r="R187" s="131"/>
      <c r="S187" s="131"/>
      <c r="T187" s="131"/>
      <c r="U187" s="131"/>
      <c r="V187" s="131"/>
      <c r="W187" s="131"/>
      <c r="X187" s="131"/>
      <c r="Y187" s="131"/>
    </row>
    <row r="188" spans="2:25">
      <c r="B188" s="199"/>
      <c r="G188" s="131"/>
      <c r="H188" s="131"/>
      <c r="I188" s="131"/>
      <c r="J188" s="131"/>
      <c r="K188" s="131"/>
      <c r="L188" s="131"/>
      <c r="M188" s="131"/>
      <c r="N188" s="131"/>
      <c r="O188" s="131"/>
      <c r="P188" s="131"/>
      <c r="Q188" s="131"/>
      <c r="R188" s="131"/>
      <c r="S188" s="131"/>
      <c r="T188" s="131"/>
      <c r="U188" s="131"/>
      <c r="V188" s="131"/>
      <c r="W188" s="131"/>
      <c r="X188" s="131"/>
      <c r="Y188" s="131"/>
    </row>
    <row r="189" spans="2:25">
      <c r="B189" s="199"/>
      <c r="G189" s="131"/>
      <c r="H189" s="131"/>
      <c r="I189" s="131"/>
      <c r="J189" s="131"/>
      <c r="K189" s="131"/>
      <c r="L189" s="131"/>
      <c r="M189" s="131"/>
      <c r="N189" s="131"/>
      <c r="O189" s="131"/>
      <c r="P189" s="131"/>
      <c r="Q189" s="131"/>
      <c r="R189" s="131"/>
      <c r="S189" s="131"/>
      <c r="T189" s="131"/>
      <c r="U189" s="131"/>
      <c r="V189" s="131"/>
      <c r="W189" s="131"/>
      <c r="X189" s="131"/>
      <c r="Y189" s="131"/>
    </row>
    <row r="190" spans="2:25">
      <c r="B190" s="199"/>
      <c r="G190" s="131"/>
      <c r="H190" s="131"/>
      <c r="I190" s="131"/>
      <c r="J190" s="131"/>
      <c r="K190" s="131"/>
      <c r="L190" s="131"/>
      <c r="M190" s="131"/>
      <c r="N190" s="131"/>
      <c r="O190" s="131"/>
      <c r="P190" s="131"/>
      <c r="Q190" s="131"/>
      <c r="R190" s="131"/>
      <c r="S190" s="131"/>
      <c r="T190" s="131"/>
      <c r="U190" s="131"/>
      <c r="V190" s="131"/>
      <c r="W190" s="131"/>
      <c r="X190" s="131"/>
      <c r="Y190" s="131"/>
    </row>
    <row r="191" spans="2:25">
      <c r="B191" s="199"/>
      <c r="G191" s="131"/>
      <c r="H191" s="131"/>
      <c r="I191" s="131"/>
      <c r="J191" s="131"/>
      <c r="K191" s="131"/>
      <c r="L191" s="131"/>
      <c r="M191" s="131"/>
      <c r="N191" s="131"/>
      <c r="O191" s="131"/>
      <c r="P191" s="131"/>
      <c r="Q191" s="131"/>
      <c r="R191" s="131"/>
      <c r="S191" s="131"/>
      <c r="T191" s="131"/>
      <c r="U191" s="131"/>
      <c r="V191" s="131"/>
      <c r="W191" s="131"/>
      <c r="X191" s="131"/>
      <c r="Y191" s="131"/>
    </row>
    <row r="192" spans="2:25">
      <c r="B192" s="199"/>
      <c r="G192" s="131"/>
      <c r="H192" s="131"/>
      <c r="I192" s="131"/>
      <c r="J192" s="131"/>
      <c r="K192" s="131"/>
      <c r="L192" s="131"/>
      <c r="M192" s="131"/>
      <c r="N192" s="131"/>
      <c r="O192" s="131"/>
      <c r="P192" s="131"/>
      <c r="Q192" s="131"/>
      <c r="R192" s="131"/>
      <c r="S192" s="131"/>
      <c r="T192" s="131"/>
      <c r="U192" s="131"/>
      <c r="V192" s="131"/>
      <c r="W192" s="131"/>
      <c r="X192" s="131"/>
      <c r="Y192" s="131"/>
    </row>
    <row r="194" spans="2:7" ht="18" customHeight="1">
      <c r="B194" s="206" t="s">
        <v>239</v>
      </c>
    </row>
    <row r="195" spans="2:7" ht="18" customHeight="1">
      <c r="B195" s="203" t="s">
        <v>8</v>
      </c>
      <c r="C195" s="204" t="s">
        <v>58</v>
      </c>
      <c r="D195" s="204" t="s">
        <v>59</v>
      </c>
      <c r="E195" s="204" t="s">
        <v>60</v>
      </c>
      <c r="F195" s="201"/>
    </row>
    <row r="196" spans="2:7" ht="18" customHeight="1">
      <c r="B196" s="188" t="s">
        <v>61</v>
      </c>
      <c r="C196" s="209">
        <v>7286.73</v>
      </c>
      <c r="D196" s="209">
        <v>9751.5</v>
      </c>
      <c r="E196" s="189"/>
      <c r="F196" s="36"/>
    </row>
    <row r="197" spans="2:7" ht="18" customHeight="1">
      <c r="B197" s="191" t="s">
        <v>62</v>
      </c>
      <c r="C197" s="37">
        <v>0</v>
      </c>
      <c r="D197" s="37">
        <v>42255</v>
      </c>
      <c r="E197" s="37"/>
      <c r="F197" s="210"/>
    </row>
    <row r="198" spans="2:7" ht="18" customHeight="1">
      <c r="B198" s="191" t="s">
        <v>153</v>
      </c>
      <c r="C198" s="37">
        <v>0</v>
      </c>
      <c r="D198" s="37">
        <v>0</v>
      </c>
      <c r="E198" s="37"/>
      <c r="F198" s="36"/>
    </row>
    <row r="199" spans="2:7" ht="18" customHeight="1">
      <c r="B199" s="191" t="s">
        <v>155</v>
      </c>
      <c r="C199" s="37">
        <v>0</v>
      </c>
      <c r="D199" s="37">
        <v>0</v>
      </c>
      <c r="E199" s="37"/>
      <c r="F199" s="36"/>
    </row>
    <row r="200" spans="2:7" ht="18" customHeight="1">
      <c r="B200" s="191" t="s">
        <v>156</v>
      </c>
      <c r="C200" s="37">
        <v>11850</v>
      </c>
      <c r="D200" s="37">
        <v>11850</v>
      </c>
      <c r="E200" s="37"/>
      <c r="F200" s="210"/>
    </row>
    <row r="201" spans="2:7" ht="18" customHeight="1">
      <c r="B201" s="191" t="s">
        <v>70</v>
      </c>
      <c r="C201" s="37">
        <v>0</v>
      </c>
      <c r="D201" s="37">
        <v>0</v>
      </c>
      <c r="E201" s="37"/>
      <c r="F201" s="211"/>
      <c r="G201" s="212"/>
    </row>
    <row r="202" spans="2:7" ht="18" customHeight="1">
      <c r="B202" s="191" t="s">
        <v>157</v>
      </c>
      <c r="C202" s="37">
        <v>80</v>
      </c>
      <c r="D202" s="37">
        <v>0</v>
      </c>
      <c r="E202" s="37"/>
      <c r="F202" s="36"/>
    </row>
    <row r="203" spans="2:7" ht="18" customHeight="1">
      <c r="B203" s="191" t="s">
        <v>150</v>
      </c>
      <c r="C203" s="37">
        <v>0</v>
      </c>
      <c r="D203" s="37">
        <v>0</v>
      </c>
      <c r="E203" s="37"/>
      <c r="F203" s="36"/>
    </row>
    <row r="204" spans="2:7" ht="18" customHeight="1">
      <c r="B204" s="192"/>
      <c r="C204" s="37"/>
      <c r="D204" s="86"/>
      <c r="E204" s="37"/>
      <c r="F204" s="36"/>
    </row>
    <row r="205" spans="2:7" ht="18" customHeight="1">
      <c r="B205" s="193"/>
      <c r="C205" s="86"/>
      <c r="D205" s="86"/>
      <c r="E205" s="39"/>
      <c r="F205" s="36"/>
    </row>
    <row r="206" spans="2:7" s="156" customFormat="1" ht="18" customHeight="1" thickBot="1">
      <c r="B206" s="195" t="s">
        <v>27</v>
      </c>
      <c r="C206" s="174">
        <f>SUM(C196:C204)</f>
        <v>19216.73</v>
      </c>
      <c r="D206" s="174">
        <f>SUM(D196:D204)</f>
        <v>63856.5</v>
      </c>
      <c r="E206" s="174"/>
      <c r="F206" s="197"/>
    </row>
    <row r="207" spans="2:7" s="156" customFormat="1" ht="18" customHeight="1" thickTop="1">
      <c r="B207" s="198"/>
      <c r="C207" s="197"/>
      <c r="D207" s="197"/>
      <c r="E207" s="197"/>
      <c r="F207" s="197"/>
    </row>
    <row r="208" spans="2:7" ht="18" customHeight="1">
      <c r="B208" s="206" t="s">
        <v>240</v>
      </c>
    </row>
    <row r="209" spans="2:25" ht="18" customHeight="1">
      <c r="B209" s="203" t="s">
        <v>8</v>
      </c>
      <c r="C209" s="204" t="s">
        <v>58</v>
      </c>
      <c r="D209" s="204" t="s">
        <v>59</v>
      </c>
      <c r="E209" s="204" t="s">
        <v>60</v>
      </c>
      <c r="F209" s="201"/>
    </row>
    <row r="210" spans="2:25" ht="18" customHeight="1">
      <c r="B210" s="188" t="s">
        <v>61</v>
      </c>
      <c r="C210" s="209">
        <f>9751.5+7286.73</f>
        <v>17038.23</v>
      </c>
      <c r="D210" s="209">
        <f>3678.26+9751.5</f>
        <v>13429.76</v>
      </c>
      <c r="E210" s="189"/>
      <c r="F210" s="36"/>
    </row>
    <row r="211" spans="2:25" ht="18" customHeight="1">
      <c r="B211" s="191" t="s">
        <v>62</v>
      </c>
      <c r="C211" s="37">
        <v>0</v>
      </c>
      <c r="D211" s="37">
        <f>42255</f>
        <v>42255</v>
      </c>
      <c r="E211" s="37"/>
      <c r="F211" s="210"/>
    </row>
    <row r="212" spans="2:25" ht="18" customHeight="1">
      <c r="B212" s="191" t="s">
        <v>153</v>
      </c>
      <c r="C212" s="37">
        <v>0</v>
      </c>
      <c r="D212" s="37">
        <v>0</v>
      </c>
      <c r="E212" s="37"/>
      <c r="F212" s="36"/>
    </row>
    <row r="213" spans="2:25" ht="18" customHeight="1">
      <c r="B213" s="191" t="s">
        <v>155</v>
      </c>
      <c r="C213" s="37">
        <v>31.74</v>
      </c>
      <c r="D213" s="37">
        <v>5022.12</v>
      </c>
      <c r="E213" s="37"/>
      <c r="F213" s="36"/>
    </row>
    <row r="214" spans="2:25" ht="18" customHeight="1">
      <c r="B214" s="191" t="s">
        <v>156</v>
      </c>
      <c r="C214" s="37">
        <f>11511+11850</f>
        <v>23361</v>
      </c>
      <c r="D214" s="37">
        <f>11511+11850</f>
        <v>23361</v>
      </c>
      <c r="E214" s="37"/>
      <c r="F214" s="210"/>
    </row>
    <row r="215" spans="2:25" ht="18" customHeight="1">
      <c r="B215" s="191" t="s">
        <v>70</v>
      </c>
      <c r="C215" s="37">
        <v>0</v>
      </c>
      <c r="D215" s="37">
        <v>0</v>
      </c>
      <c r="E215" s="37"/>
      <c r="F215" s="211"/>
      <c r="G215" s="212"/>
    </row>
    <row r="216" spans="2:25" ht="18" customHeight="1">
      <c r="B216" s="191" t="s">
        <v>157</v>
      </c>
      <c r="C216" s="37">
        <v>80</v>
      </c>
      <c r="D216" s="37">
        <v>0</v>
      </c>
      <c r="E216" s="37"/>
      <c r="F216" s="36"/>
    </row>
    <row r="217" spans="2:25" ht="18" customHeight="1">
      <c r="B217" s="191" t="s">
        <v>150</v>
      </c>
      <c r="C217" s="37">
        <v>0</v>
      </c>
      <c r="D217" s="37">
        <v>0</v>
      </c>
      <c r="E217" s="37"/>
      <c r="F217" s="36"/>
    </row>
    <row r="218" spans="2:25" ht="18" customHeight="1">
      <c r="B218" s="192"/>
      <c r="C218" s="37"/>
      <c r="D218" s="86"/>
      <c r="E218" s="37"/>
      <c r="F218" s="36"/>
    </row>
    <row r="219" spans="2:25" ht="18" customHeight="1">
      <c r="B219" s="193"/>
      <c r="C219" s="86"/>
      <c r="D219" s="86"/>
      <c r="E219" s="39"/>
      <c r="F219" s="36"/>
    </row>
    <row r="220" spans="2:25" s="156" customFormat="1" ht="18" customHeight="1" thickBot="1">
      <c r="B220" s="195" t="s">
        <v>27</v>
      </c>
      <c r="C220" s="174">
        <f>SUM(C210:C218)</f>
        <v>40510.97</v>
      </c>
      <c r="D220" s="174">
        <f>SUM(D210:D218)</f>
        <v>84067.88</v>
      </c>
      <c r="E220" s="174"/>
      <c r="F220" s="197"/>
    </row>
    <row r="221" spans="2:25" ht="18" thickTop="1"/>
    <row r="223" spans="2:25">
      <c r="B223" s="199" t="s">
        <v>198</v>
      </c>
      <c r="G223" s="200"/>
      <c r="H223" s="201"/>
      <c r="I223" s="201"/>
      <c r="J223" s="201"/>
    </row>
    <row r="224" spans="2:25">
      <c r="B224" s="199" t="s">
        <v>197</v>
      </c>
      <c r="G224" s="131"/>
      <c r="H224" s="131"/>
      <c r="I224" s="131"/>
      <c r="J224" s="131"/>
      <c r="K224" s="131"/>
      <c r="L224" s="131"/>
      <c r="M224" s="131"/>
      <c r="N224" s="131"/>
      <c r="O224" s="131"/>
      <c r="P224" s="131"/>
      <c r="Q224" s="131"/>
      <c r="R224" s="131"/>
      <c r="S224" s="131"/>
      <c r="T224" s="131"/>
      <c r="U224" s="131"/>
      <c r="V224" s="131"/>
      <c r="W224" s="131"/>
      <c r="X224" s="131"/>
      <c r="Y224" s="131"/>
    </row>
    <row r="225" spans="2:25">
      <c r="B225" s="199"/>
      <c r="G225" s="131"/>
      <c r="H225" s="131"/>
      <c r="I225" s="131"/>
      <c r="J225" s="131"/>
      <c r="K225" s="131"/>
      <c r="L225" s="131"/>
      <c r="M225" s="131"/>
      <c r="N225" s="131"/>
      <c r="O225" s="131"/>
      <c r="P225" s="131"/>
      <c r="Q225" s="131"/>
      <c r="R225" s="131"/>
      <c r="S225" s="131"/>
      <c r="T225" s="131"/>
      <c r="U225" s="131"/>
      <c r="V225" s="131"/>
      <c r="W225" s="131"/>
      <c r="X225" s="131"/>
      <c r="Y225" s="131"/>
    </row>
    <row r="226" spans="2:25">
      <c r="B226" s="199"/>
      <c r="G226" s="131"/>
      <c r="H226" s="131"/>
      <c r="I226" s="131"/>
      <c r="J226" s="131"/>
      <c r="K226" s="131"/>
      <c r="L226" s="131"/>
      <c r="M226" s="131"/>
      <c r="N226" s="131"/>
      <c r="O226" s="131"/>
      <c r="P226" s="131"/>
      <c r="Q226" s="131"/>
      <c r="R226" s="131"/>
      <c r="S226" s="131"/>
      <c r="T226" s="131"/>
      <c r="U226" s="131"/>
      <c r="V226" s="131"/>
      <c r="W226" s="131"/>
      <c r="X226" s="131"/>
      <c r="Y226" s="131"/>
    </row>
    <row r="227" spans="2:25">
      <c r="B227" s="199"/>
      <c r="G227" s="131"/>
      <c r="H227" s="131"/>
      <c r="I227" s="131"/>
      <c r="J227" s="131"/>
      <c r="K227" s="131"/>
      <c r="L227" s="131"/>
      <c r="M227" s="131"/>
      <c r="N227" s="131"/>
      <c r="O227" s="131"/>
      <c r="P227" s="131"/>
      <c r="Q227" s="131"/>
      <c r="R227" s="131"/>
      <c r="S227" s="131"/>
      <c r="T227" s="131"/>
      <c r="U227" s="131"/>
      <c r="V227" s="131"/>
      <c r="W227" s="131"/>
      <c r="X227" s="131"/>
      <c r="Y227" s="131"/>
    </row>
    <row r="228" spans="2:25">
      <c r="B228" s="199"/>
      <c r="G228" s="131"/>
      <c r="H228" s="131"/>
      <c r="I228" s="131"/>
      <c r="J228" s="131"/>
      <c r="K228" s="131"/>
      <c r="L228" s="131"/>
      <c r="M228" s="131"/>
      <c r="N228" s="131"/>
      <c r="O228" s="131"/>
      <c r="P228" s="131"/>
      <c r="Q228" s="131"/>
      <c r="R228" s="131"/>
      <c r="S228" s="131"/>
      <c r="T228" s="131"/>
      <c r="U228" s="131"/>
      <c r="V228" s="131"/>
      <c r="W228" s="131"/>
      <c r="X228" s="131"/>
      <c r="Y228" s="131"/>
    </row>
    <row r="229" spans="2:25">
      <c r="B229" s="199"/>
      <c r="G229" s="131"/>
      <c r="H229" s="131"/>
      <c r="I229" s="131"/>
      <c r="J229" s="131"/>
      <c r="K229" s="131"/>
      <c r="L229" s="131"/>
      <c r="M229" s="131"/>
      <c r="N229" s="131"/>
      <c r="O229" s="131"/>
      <c r="P229" s="131"/>
      <c r="Q229" s="131"/>
      <c r="R229" s="131"/>
      <c r="S229" s="131"/>
      <c r="T229" s="131"/>
      <c r="U229" s="131"/>
      <c r="V229" s="131"/>
      <c r="W229" s="131"/>
      <c r="X229" s="131"/>
      <c r="Y229" s="131"/>
    </row>
    <row r="230" spans="2:25">
      <c r="B230" s="199"/>
      <c r="G230" s="131"/>
      <c r="H230" s="131"/>
      <c r="I230" s="131"/>
      <c r="J230" s="131"/>
      <c r="K230" s="131"/>
      <c r="L230" s="131"/>
      <c r="M230" s="131"/>
      <c r="N230" s="131"/>
      <c r="O230" s="131"/>
      <c r="P230" s="131"/>
      <c r="Q230" s="131"/>
      <c r="R230" s="131"/>
      <c r="S230" s="131"/>
      <c r="T230" s="131"/>
      <c r="U230" s="131"/>
      <c r="V230" s="131"/>
      <c r="W230" s="131"/>
      <c r="X230" s="131"/>
      <c r="Y230" s="131"/>
    </row>
    <row r="231" spans="2:25">
      <c r="B231" s="199"/>
      <c r="G231" s="131"/>
      <c r="H231" s="131"/>
      <c r="I231" s="131"/>
      <c r="J231" s="131"/>
      <c r="K231" s="131"/>
      <c r="L231" s="131"/>
      <c r="M231" s="131"/>
      <c r="N231" s="131"/>
      <c r="O231" s="131"/>
      <c r="P231" s="131"/>
      <c r="Q231" s="131"/>
      <c r="R231" s="131"/>
      <c r="S231" s="131"/>
      <c r="T231" s="131"/>
      <c r="U231" s="131"/>
      <c r="V231" s="131"/>
      <c r="W231" s="131"/>
      <c r="X231" s="131"/>
      <c r="Y231" s="131"/>
    </row>
    <row r="232" spans="2:25">
      <c r="B232" s="199"/>
      <c r="G232" s="131"/>
      <c r="H232" s="131"/>
      <c r="I232" s="131"/>
      <c r="J232" s="131"/>
      <c r="K232" s="131"/>
      <c r="L232" s="131"/>
      <c r="M232" s="131"/>
      <c r="N232" s="131"/>
      <c r="O232" s="131"/>
      <c r="P232" s="131"/>
      <c r="Q232" s="131"/>
      <c r="R232" s="131"/>
      <c r="S232" s="131"/>
      <c r="T232" s="131"/>
      <c r="U232" s="131"/>
      <c r="V232" s="131"/>
      <c r="W232" s="131"/>
      <c r="X232" s="131"/>
      <c r="Y232" s="131"/>
    </row>
    <row r="233" spans="2:25">
      <c r="B233" s="199"/>
      <c r="G233" s="131"/>
      <c r="H233" s="131"/>
      <c r="I233" s="131"/>
      <c r="J233" s="131"/>
      <c r="K233" s="131"/>
      <c r="L233" s="131"/>
      <c r="M233" s="131"/>
      <c r="N233" s="131"/>
      <c r="O233" s="131"/>
      <c r="P233" s="131"/>
      <c r="Q233" s="131"/>
      <c r="R233" s="131"/>
      <c r="S233" s="131"/>
      <c r="T233" s="131"/>
      <c r="U233" s="131"/>
      <c r="V233" s="131"/>
      <c r="W233" s="131"/>
      <c r="X233" s="131"/>
      <c r="Y233" s="131"/>
    </row>
    <row r="234" spans="2:25">
      <c r="B234" s="199"/>
      <c r="G234" s="131"/>
      <c r="H234" s="131"/>
      <c r="I234" s="131"/>
      <c r="J234" s="131"/>
      <c r="K234" s="131"/>
      <c r="L234" s="131"/>
      <c r="M234" s="131"/>
      <c r="N234" s="131"/>
      <c r="O234" s="131"/>
      <c r="P234" s="131"/>
      <c r="Q234" s="131"/>
      <c r="R234" s="131"/>
      <c r="S234" s="131"/>
      <c r="T234" s="131"/>
      <c r="U234" s="131"/>
      <c r="V234" s="131"/>
      <c r="W234" s="131"/>
      <c r="X234" s="131"/>
      <c r="Y234" s="131"/>
    </row>
    <row r="235" spans="2:25">
      <c r="B235" s="199"/>
      <c r="G235" s="131"/>
      <c r="H235" s="131"/>
      <c r="I235" s="131"/>
      <c r="J235" s="131"/>
      <c r="K235" s="131"/>
      <c r="L235" s="131"/>
      <c r="M235" s="131"/>
      <c r="N235" s="131"/>
      <c r="O235" s="131"/>
      <c r="P235" s="131"/>
      <c r="Q235" s="131"/>
      <c r="R235" s="131"/>
      <c r="S235" s="131"/>
      <c r="T235" s="131"/>
      <c r="U235" s="131"/>
      <c r="V235" s="131"/>
      <c r="W235" s="131"/>
      <c r="X235" s="131"/>
      <c r="Y235" s="131"/>
    </row>
    <row r="236" spans="2:25">
      <c r="B236" s="199"/>
      <c r="G236" s="131"/>
      <c r="H236" s="131"/>
      <c r="I236" s="131"/>
      <c r="J236" s="131"/>
      <c r="K236" s="131"/>
      <c r="L236" s="131"/>
      <c r="M236" s="131"/>
      <c r="N236" s="131"/>
      <c r="O236" s="131"/>
      <c r="P236" s="131"/>
      <c r="Q236" s="131"/>
      <c r="R236" s="131"/>
      <c r="S236" s="131"/>
      <c r="T236" s="131"/>
      <c r="U236" s="131"/>
      <c r="V236" s="131"/>
      <c r="W236" s="131"/>
      <c r="X236" s="131"/>
      <c r="Y236" s="131"/>
    </row>
    <row r="237" spans="2:25">
      <c r="B237" s="199"/>
      <c r="G237" s="131"/>
      <c r="H237" s="131"/>
      <c r="I237" s="131"/>
      <c r="J237" s="131"/>
      <c r="K237" s="131"/>
      <c r="L237" s="131"/>
      <c r="M237" s="131"/>
      <c r="N237" s="131"/>
      <c r="O237" s="131"/>
      <c r="P237" s="131"/>
      <c r="Q237" s="131"/>
      <c r="R237" s="131"/>
      <c r="S237" s="131"/>
      <c r="T237" s="131"/>
      <c r="U237" s="131"/>
      <c r="V237" s="131"/>
      <c r="W237" s="131"/>
      <c r="X237" s="131"/>
      <c r="Y237" s="131"/>
    </row>
    <row r="238" spans="2:25">
      <c r="B238" s="199"/>
      <c r="G238" s="131"/>
      <c r="H238" s="131"/>
      <c r="I238" s="131"/>
      <c r="J238" s="131"/>
      <c r="K238" s="131"/>
      <c r="L238" s="131"/>
      <c r="M238" s="131"/>
      <c r="N238" s="131"/>
      <c r="O238" s="131"/>
      <c r="P238" s="131"/>
      <c r="Q238" s="131"/>
      <c r="R238" s="131"/>
      <c r="S238" s="131"/>
      <c r="T238" s="131"/>
      <c r="U238" s="131"/>
      <c r="V238" s="131"/>
      <c r="W238" s="131"/>
      <c r="X238" s="131"/>
      <c r="Y238" s="131"/>
    </row>
    <row r="242" spans="2:6">
      <c r="B242" s="202" t="s">
        <v>274</v>
      </c>
      <c r="F242" s="110"/>
    </row>
    <row r="243" spans="2:6" ht="17.25" customHeight="1">
      <c r="B243" s="203" t="s">
        <v>8</v>
      </c>
      <c r="C243" s="204" t="s">
        <v>275</v>
      </c>
      <c r="D243" s="204" t="s">
        <v>57</v>
      </c>
      <c r="E243" s="205" t="s">
        <v>276</v>
      </c>
      <c r="F243" s="201"/>
    </row>
    <row r="244" spans="2:6" ht="19.5" customHeight="1">
      <c r="B244" s="188" t="s">
        <v>42</v>
      </c>
      <c r="C244" s="189">
        <v>0</v>
      </c>
      <c r="D244" s="189">
        <v>0</v>
      </c>
      <c r="E244" s="190">
        <f>SUM(C244+D244)</f>
        <v>0</v>
      </c>
      <c r="F244" s="36"/>
    </row>
    <row r="245" spans="2:6" ht="17.25" customHeight="1">
      <c r="B245" s="191" t="s">
        <v>43</v>
      </c>
      <c r="C245" s="37">
        <v>497.26</v>
      </c>
      <c r="D245" s="37">
        <v>0</v>
      </c>
      <c r="E245" s="37">
        <f t="shared" ref="E245:E270" si="2">SUM(C245+D245)</f>
        <v>497.26</v>
      </c>
      <c r="F245" s="36"/>
    </row>
    <row r="246" spans="2:6" ht="17.25" customHeight="1">
      <c r="B246" s="191" t="s">
        <v>44</v>
      </c>
      <c r="C246" s="37">
        <v>0</v>
      </c>
      <c r="D246" s="37">
        <v>0</v>
      </c>
      <c r="E246" s="37">
        <f t="shared" si="2"/>
        <v>0</v>
      </c>
      <c r="F246" s="36"/>
    </row>
    <row r="247" spans="2:6" ht="17.25" customHeight="1">
      <c r="B247" s="191" t="s">
        <v>188</v>
      </c>
      <c r="C247" s="37">
        <v>0</v>
      </c>
      <c r="D247" s="37">
        <v>0</v>
      </c>
      <c r="E247" s="37">
        <f t="shared" si="2"/>
        <v>0</v>
      </c>
      <c r="F247" s="36"/>
    </row>
    <row r="248" spans="2:6" ht="17.25" customHeight="1">
      <c r="B248" s="191" t="s">
        <v>73</v>
      </c>
      <c r="C248" s="37">
        <v>0</v>
      </c>
      <c r="D248" s="37">
        <v>0</v>
      </c>
      <c r="E248" s="37">
        <f t="shared" si="2"/>
        <v>0</v>
      </c>
      <c r="F248" s="36"/>
    </row>
    <row r="249" spans="2:6" ht="17.25" customHeight="1">
      <c r="B249" s="191" t="s">
        <v>46</v>
      </c>
      <c r="C249" s="37">
        <f>82</f>
        <v>82</v>
      </c>
      <c r="D249" s="37">
        <v>0</v>
      </c>
      <c r="E249" s="37">
        <f t="shared" si="2"/>
        <v>82</v>
      </c>
      <c r="F249" s="36"/>
    </row>
    <row r="250" spans="2:6" ht="17.25" customHeight="1">
      <c r="B250" s="191" t="s">
        <v>75</v>
      </c>
      <c r="C250" s="37">
        <f>10</f>
        <v>10</v>
      </c>
      <c r="D250" s="37">
        <v>20</v>
      </c>
      <c r="E250" s="37">
        <f t="shared" si="2"/>
        <v>30</v>
      </c>
      <c r="F250" s="36"/>
    </row>
    <row r="251" spans="2:6" ht="17.25" customHeight="1">
      <c r="B251" s="191" t="s">
        <v>64</v>
      </c>
      <c r="C251" s="37">
        <f>20</f>
        <v>20</v>
      </c>
      <c r="D251" s="37">
        <v>170</v>
      </c>
      <c r="E251" s="37">
        <f t="shared" si="2"/>
        <v>190</v>
      </c>
      <c r="F251" s="36"/>
    </row>
    <row r="252" spans="2:6" ht="17.25" customHeight="1">
      <c r="B252" s="191" t="s">
        <v>65</v>
      </c>
      <c r="C252" s="37">
        <f>200</f>
        <v>200</v>
      </c>
      <c r="D252" s="37">
        <v>600</v>
      </c>
      <c r="E252" s="37">
        <f t="shared" si="2"/>
        <v>800</v>
      </c>
      <c r="F252" s="36"/>
    </row>
    <row r="253" spans="2:6" ht="17.25" customHeight="1">
      <c r="B253" s="191" t="s">
        <v>160</v>
      </c>
      <c r="C253" s="37">
        <v>0</v>
      </c>
      <c r="D253" s="37">
        <v>0</v>
      </c>
      <c r="E253" s="37">
        <f t="shared" si="2"/>
        <v>0</v>
      </c>
      <c r="F253" s="36"/>
    </row>
    <row r="254" spans="2:6" ht="17.25" customHeight="1">
      <c r="B254" s="191" t="s">
        <v>74</v>
      </c>
      <c r="C254" s="37">
        <f>11500</f>
        <v>11500</v>
      </c>
      <c r="D254" s="37">
        <v>2500</v>
      </c>
      <c r="E254" s="37">
        <f t="shared" si="2"/>
        <v>14000</v>
      </c>
      <c r="F254" s="36"/>
    </row>
    <row r="255" spans="2:6" ht="17.25" customHeight="1">
      <c r="B255" s="191" t="s">
        <v>55</v>
      </c>
      <c r="C255" s="37">
        <f>75</f>
        <v>75</v>
      </c>
      <c r="D255" s="37">
        <v>0</v>
      </c>
      <c r="E255" s="37">
        <f t="shared" si="2"/>
        <v>75</v>
      </c>
      <c r="F255" s="36"/>
    </row>
    <row r="256" spans="2:6" ht="17.25" customHeight="1">
      <c r="B256" s="191" t="s">
        <v>56</v>
      </c>
      <c r="C256" s="37">
        <v>0</v>
      </c>
      <c r="D256" s="37">
        <v>0</v>
      </c>
      <c r="E256" s="37">
        <f t="shared" si="2"/>
        <v>0</v>
      </c>
      <c r="F256" s="36"/>
    </row>
    <row r="257" spans="2:6" ht="17.25" customHeight="1">
      <c r="B257" s="192" t="s">
        <v>53</v>
      </c>
      <c r="C257" s="37">
        <v>0</v>
      </c>
      <c r="D257" s="37">
        <v>0</v>
      </c>
      <c r="E257" s="37">
        <f t="shared" si="2"/>
        <v>0</v>
      </c>
      <c r="F257" s="36"/>
    </row>
    <row r="258" spans="2:6" ht="17.25" customHeight="1">
      <c r="B258" s="192" t="s">
        <v>77</v>
      </c>
      <c r="C258" s="37">
        <f>2000</f>
        <v>2000</v>
      </c>
      <c r="D258" s="37">
        <v>0</v>
      </c>
      <c r="E258" s="37">
        <f t="shared" si="2"/>
        <v>2000</v>
      </c>
      <c r="F258" s="36"/>
    </row>
    <row r="259" spans="2:6" ht="17.25" customHeight="1">
      <c r="B259" s="192" t="s">
        <v>76</v>
      </c>
      <c r="C259" s="37">
        <v>0</v>
      </c>
      <c r="D259" s="37">
        <v>296</v>
      </c>
      <c r="E259" s="37">
        <f t="shared" si="2"/>
        <v>296</v>
      </c>
      <c r="F259" s="36"/>
    </row>
    <row r="260" spans="2:6" ht="17.25" customHeight="1">
      <c r="B260" s="192" t="s">
        <v>158</v>
      </c>
      <c r="C260" s="37">
        <f>99258.32</f>
        <v>99258.32</v>
      </c>
      <c r="D260" s="37">
        <v>36736.639999999999</v>
      </c>
      <c r="E260" s="37">
        <f t="shared" si="2"/>
        <v>135994.96000000002</v>
      </c>
      <c r="F260" s="36"/>
    </row>
    <row r="261" spans="2:6" ht="17.25" customHeight="1">
      <c r="B261" s="191" t="s">
        <v>66</v>
      </c>
      <c r="C261" s="37">
        <f>1637456.38</f>
        <v>1637456.38</v>
      </c>
      <c r="D261" s="37">
        <v>809734.13</v>
      </c>
      <c r="E261" s="37">
        <f t="shared" si="2"/>
        <v>2447190.5099999998</v>
      </c>
      <c r="F261" s="36"/>
    </row>
    <row r="262" spans="2:6" ht="17.25" customHeight="1">
      <c r="B262" s="191" t="s">
        <v>67</v>
      </c>
      <c r="C262" s="37">
        <f>329074.09</f>
        <v>329074.09000000003</v>
      </c>
      <c r="D262" s="37">
        <v>218802.95</v>
      </c>
      <c r="E262" s="37">
        <f t="shared" si="2"/>
        <v>547877.04</v>
      </c>
      <c r="F262" s="36"/>
    </row>
    <row r="263" spans="2:6" ht="17.25" customHeight="1">
      <c r="B263" s="38" t="s">
        <v>48</v>
      </c>
      <c r="C263" s="111">
        <f>21094.12</f>
        <v>21094.12</v>
      </c>
      <c r="D263" s="37">
        <v>10100.82</v>
      </c>
      <c r="E263" s="37">
        <f t="shared" si="2"/>
        <v>31194.94</v>
      </c>
      <c r="F263" s="36"/>
    </row>
    <row r="264" spans="2:6" ht="17.25" customHeight="1">
      <c r="B264" s="191" t="s">
        <v>49</v>
      </c>
      <c r="C264" s="37">
        <v>0</v>
      </c>
      <c r="D264" s="37">
        <v>0</v>
      </c>
      <c r="E264" s="37">
        <f t="shared" si="2"/>
        <v>0</v>
      </c>
      <c r="F264" s="36"/>
    </row>
    <row r="265" spans="2:6" ht="17.25" customHeight="1">
      <c r="B265" s="191" t="s">
        <v>50</v>
      </c>
      <c r="C265" s="37">
        <f>742770.21</f>
        <v>742770.21</v>
      </c>
      <c r="D265" s="37">
        <v>416564.3</v>
      </c>
      <c r="E265" s="37">
        <f t="shared" si="2"/>
        <v>1159334.51</v>
      </c>
      <c r="F265" s="36"/>
    </row>
    <row r="266" spans="2:6" ht="17.25" customHeight="1">
      <c r="B266" s="192" t="s">
        <v>54</v>
      </c>
      <c r="C266" s="37">
        <v>0</v>
      </c>
      <c r="D266" s="37">
        <v>18106.79</v>
      </c>
      <c r="E266" s="37">
        <f t="shared" si="2"/>
        <v>18106.79</v>
      </c>
      <c r="F266" s="36"/>
    </row>
    <row r="267" spans="2:6" ht="17.25" customHeight="1">
      <c r="B267" s="191" t="s">
        <v>51</v>
      </c>
      <c r="C267" s="37">
        <v>11585.92</v>
      </c>
      <c r="D267" s="37">
        <v>0</v>
      </c>
      <c r="E267" s="37">
        <f t="shared" si="2"/>
        <v>11585.92</v>
      </c>
      <c r="F267" s="36"/>
    </row>
    <row r="268" spans="2:6" ht="17.25" customHeight="1">
      <c r="B268" s="191" t="s">
        <v>47</v>
      </c>
      <c r="C268" s="37">
        <f>87504</f>
        <v>87504</v>
      </c>
      <c r="D268" s="37">
        <v>19696</v>
      </c>
      <c r="E268" s="37">
        <f t="shared" si="2"/>
        <v>107200</v>
      </c>
      <c r="F268" s="36"/>
    </row>
    <row r="269" spans="2:6" ht="17.25" customHeight="1">
      <c r="B269" s="191" t="s">
        <v>52</v>
      </c>
      <c r="C269" s="37">
        <v>5566536</v>
      </c>
      <c r="D269" s="37">
        <v>0</v>
      </c>
      <c r="E269" s="37">
        <f t="shared" si="2"/>
        <v>5566536</v>
      </c>
      <c r="F269" s="36"/>
    </row>
    <row r="270" spans="2:6" ht="17.25" customHeight="1">
      <c r="B270" s="193" t="s">
        <v>135</v>
      </c>
      <c r="C270" s="86">
        <v>0</v>
      </c>
      <c r="D270" s="194">
        <v>0</v>
      </c>
      <c r="E270" s="194">
        <f t="shared" si="2"/>
        <v>0</v>
      </c>
      <c r="F270" s="36"/>
    </row>
    <row r="271" spans="2:6" s="156" customFormat="1" ht="17.25" customHeight="1" thickBot="1">
      <c r="B271" s="195" t="s">
        <v>165</v>
      </c>
      <c r="C271" s="174">
        <f>SUM(C244:C270)</f>
        <v>8509663.3000000007</v>
      </c>
      <c r="D271" s="174">
        <f>SUM(D244:D270)</f>
        <v>1533327.6300000001</v>
      </c>
      <c r="E271" s="196">
        <f>SUM(E244:E270)</f>
        <v>10042990.93</v>
      </c>
      <c r="F271" s="197"/>
    </row>
    <row r="272" spans="2:6" s="156" customFormat="1" ht="17.25" customHeight="1" thickTop="1">
      <c r="B272" s="198"/>
      <c r="D272" s="197"/>
      <c r="E272" s="197"/>
      <c r="F272" s="197"/>
    </row>
    <row r="273" spans="2:25" s="156" customFormat="1" ht="17.25" customHeight="1">
      <c r="B273" s="198"/>
      <c r="C273" s="197"/>
      <c r="D273" s="197"/>
      <c r="E273" s="197"/>
      <c r="F273" s="197"/>
    </row>
    <row r="274" spans="2:25" s="156" customFormat="1" ht="17.25" customHeight="1">
      <c r="B274" s="198"/>
      <c r="C274" s="197"/>
      <c r="D274" s="197"/>
      <c r="E274" s="197"/>
      <c r="F274" s="197"/>
    </row>
    <row r="275" spans="2:25">
      <c r="B275" s="199" t="s">
        <v>269</v>
      </c>
      <c r="G275" s="200"/>
      <c r="H275" s="201"/>
      <c r="I275" s="201"/>
      <c r="J275" s="201"/>
    </row>
    <row r="276" spans="2:25">
      <c r="B276" s="199" t="s">
        <v>283</v>
      </c>
      <c r="G276" s="131"/>
      <c r="H276" s="131"/>
      <c r="I276" s="131"/>
      <c r="J276" s="131"/>
      <c r="K276" s="131"/>
      <c r="L276" s="131"/>
      <c r="M276" s="131"/>
      <c r="N276" s="131"/>
      <c r="O276" s="131"/>
      <c r="P276" s="131"/>
      <c r="Q276" s="131"/>
      <c r="R276" s="131"/>
      <c r="S276" s="131"/>
      <c r="T276" s="131"/>
      <c r="U276" s="131"/>
      <c r="V276" s="131"/>
      <c r="W276" s="131"/>
      <c r="X276" s="131"/>
      <c r="Y276" s="131"/>
    </row>
    <row r="277" spans="2:25" s="156" customFormat="1" ht="17.25" customHeight="1">
      <c r="B277" s="198"/>
      <c r="C277" s="197"/>
      <c r="D277" s="197"/>
      <c r="E277" s="197"/>
      <c r="F277" s="197"/>
    </row>
    <row r="278" spans="2:25" s="156" customFormat="1" ht="17.25" customHeight="1">
      <c r="B278" s="198"/>
      <c r="C278" s="197"/>
      <c r="D278" s="197"/>
      <c r="E278" s="197"/>
      <c r="F278" s="197"/>
    </row>
    <row r="279" spans="2:25" s="156" customFormat="1" ht="17.25" customHeight="1">
      <c r="B279" s="198"/>
      <c r="C279" s="197"/>
      <c r="D279" s="197"/>
      <c r="E279" s="197"/>
      <c r="F279" s="197"/>
    </row>
    <row r="280" spans="2:25" s="156" customFormat="1" ht="17.25" customHeight="1">
      <c r="B280" s="198"/>
      <c r="C280" s="197"/>
      <c r="D280" s="197"/>
      <c r="E280" s="197"/>
      <c r="F280" s="197"/>
    </row>
    <row r="281" spans="2:25" s="156" customFormat="1" ht="17.25" customHeight="1">
      <c r="B281" s="198"/>
      <c r="C281" s="197"/>
      <c r="D281" s="197"/>
      <c r="E281" s="197"/>
      <c r="F281" s="197"/>
    </row>
    <row r="282" spans="2:25" s="156" customFormat="1" ht="17.25" customHeight="1">
      <c r="B282" s="198"/>
      <c r="C282" s="197"/>
      <c r="D282" s="197"/>
      <c r="E282" s="197"/>
      <c r="F282" s="197"/>
    </row>
    <row r="283" spans="2:25" s="156" customFormat="1" ht="17.25" customHeight="1">
      <c r="B283" s="198"/>
      <c r="C283" s="197"/>
      <c r="D283" s="197"/>
      <c r="E283" s="197"/>
      <c r="F283" s="197"/>
    </row>
    <row r="284" spans="2:25" s="156" customFormat="1" ht="17.25" customHeight="1">
      <c r="B284" s="198"/>
      <c r="C284" s="197"/>
      <c r="D284" s="197"/>
      <c r="E284" s="197"/>
      <c r="F284" s="197"/>
    </row>
    <row r="285" spans="2:25" s="156" customFormat="1" ht="17.25" customHeight="1">
      <c r="B285" s="198"/>
      <c r="C285" s="197"/>
      <c r="D285" s="197"/>
      <c r="E285" s="197"/>
      <c r="F285" s="197"/>
    </row>
    <row r="286" spans="2:25" s="156" customFormat="1" ht="17.25" customHeight="1">
      <c r="B286" s="198"/>
      <c r="C286" s="197"/>
      <c r="D286" s="197"/>
      <c r="E286" s="197"/>
      <c r="F286" s="197"/>
    </row>
    <row r="287" spans="2:25" s="156" customFormat="1" ht="17.25" customHeight="1">
      <c r="B287" s="198"/>
      <c r="C287" s="197"/>
      <c r="D287" s="197"/>
      <c r="E287" s="197"/>
      <c r="F287" s="197"/>
    </row>
    <row r="288" spans="2:25" s="156" customFormat="1" ht="17.25" customHeight="1">
      <c r="B288" s="198"/>
      <c r="C288" s="197"/>
      <c r="D288" s="197"/>
      <c r="E288" s="197"/>
      <c r="F288" s="197"/>
    </row>
    <row r="289" spans="2:10" s="156" customFormat="1" ht="17.25" customHeight="1">
      <c r="B289" s="198"/>
      <c r="C289" s="197"/>
      <c r="D289" s="197"/>
      <c r="E289" s="197"/>
      <c r="F289" s="197"/>
    </row>
    <row r="290" spans="2:10" s="156" customFormat="1" ht="17.25" customHeight="1">
      <c r="B290" s="198"/>
      <c r="C290" s="197"/>
      <c r="D290" s="197"/>
      <c r="E290" s="197"/>
      <c r="F290" s="197"/>
    </row>
    <row r="291" spans="2:10" ht="20.25" customHeight="1">
      <c r="B291" s="206" t="s">
        <v>277</v>
      </c>
      <c r="H291" s="131"/>
      <c r="I291" s="131"/>
      <c r="J291" s="131"/>
    </row>
    <row r="292" spans="2:10" ht="18" customHeight="1">
      <c r="B292" s="203" t="s">
        <v>8</v>
      </c>
      <c r="C292" s="204" t="s">
        <v>58</v>
      </c>
      <c r="D292" s="204" t="s">
        <v>59</v>
      </c>
      <c r="E292" s="204" t="s">
        <v>60</v>
      </c>
      <c r="F292" s="201"/>
      <c r="H292" s="131"/>
      <c r="I292" s="131"/>
      <c r="J292" s="131"/>
    </row>
    <row r="293" spans="2:10">
      <c r="B293" s="38" t="s">
        <v>272</v>
      </c>
      <c r="C293" s="86"/>
      <c r="D293" s="86">
        <v>521617</v>
      </c>
      <c r="E293" s="37"/>
      <c r="F293" s="110"/>
      <c r="H293" s="131"/>
      <c r="I293" s="131"/>
      <c r="J293" s="131"/>
    </row>
    <row r="294" spans="2:10">
      <c r="B294" s="38" t="s">
        <v>271</v>
      </c>
      <c r="C294" s="37"/>
      <c r="D294" s="37"/>
      <c r="E294" s="37"/>
      <c r="F294" s="110"/>
      <c r="H294" s="131"/>
      <c r="I294" s="131"/>
      <c r="J294" s="131"/>
    </row>
    <row r="295" spans="2:10" ht="18" customHeight="1">
      <c r="B295" s="38"/>
      <c r="C295" s="37"/>
      <c r="D295" s="37"/>
      <c r="E295" s="37"/>
      <c r="F295" s="36"/>
      <c r="H295" s="131"/>
      <c r="I295" s="131"/>
      <c r="J295" s="131"/>
    </row>
    <row r="296" spans="2:10" ht="18" customHeight="1">
      <c r="B296" s="193"/>
      <c r="C296" s="86"/>
      <c r="D296" s="86"/>
      <c r="E296" s="39"/>
      <c r="F296" s="36"/>
      <c r="H296" s="131"/>
      <c r="I296" s="131"/>
      <c r="J296" s="131"/>
    </row>
    <row r="297" spans="2:10" s="156" customFormat="1" ht="20.25" customHeight="1" thickBot="1">
      <c r="B297" s="195" t="s">
        <v>166</v>
      </c>
      <c r="C297" s="174">
        <f>SUM(C296:C296)</f>
        <v>0</v>
      </c>
      <c r="D297" s="174">
        <f>SUM(D293:D296)</f>
        <v>521617</v>
      </c>
      <c r="E297" s="174"/>
      <c r="F297" s="197"/>
    </row>
    <row r="298" spans="2:10" s="156" customFormat="1" ht="20.25" customHeight="1" thickTop="1">
      <c r="B298" s="198"/>
      <c r="C298" s="197"/>
      <c r="D298" s="197"/>
      <c r="E298" s="197"/>
      <c r="F298" s="197"/>
    </row>
    <row r="299" spans="2:10" ht="20.25" customHeight="1">
      <c r="B299" s="206" t="s">
        <v>278</v>
      </c>
      <c r="H299" s="131"/>
      <c r="I299" s="131"/>
      <c r="J299" s="131"/>
    </row>
    <row r="300" spans="2:10" ht="18" customHeight="1">
      <c r="B300" s="203" t="s">
        <v>8</v>
      </c>
      <c r="C300" s="204" t="s">
        <v>58</v>
      </c>
      <c r="D300" s="204" t="s">
        <v>59</v>
      </c>
      <c r="E300" s="204" t="s">
        <v>60</v>
      </c>
      <c r="F300" s="201"/>
      <c r="H300" s="131"/>
      <c r="I300" s="131"/>
      <c r="J300" s="131"/>
    </row>
    <row r="301" spans="2:10">
      <c r="B301" s="207" t="s">
        <v>163</v>
      </c>
      <c r="C301" s="37">
        <v>0</v>
      </c>
      <c r="D301" s="37">
        <v>5000</v>
      </c>
      <c r="E301" s="37"/>
      <c r="F301" s="110"/>
      <c r="H301" s="131"/>
      <c r="I301" s="131"/>
      <c r="J301" s="131"/>
    </row>
    <row r="302" spans="2:10">
      <c r="B302" s="207" t="s">
        <v>164</v>
      </c>
      <c r="C302" s="37">
        <v>0</v>
      </c>
      <c r="D302" s="37">
        <v>28000</v>
      </c>
      <c r="E302" s="37"/>
      <c r="F302" s="110"/>
      <c r="H302" s="131"/>
      <c r="I302" s="131"/>
      <c r="J302" s="131"/>
    </row>
    <row r="303" spans="2:10" ht="18" customHeight="1">
      <c r="B303" s="207" t="s">
        <v>182</v>
      </c>
      <c r="C303" s="37">
        <v>0</v>
      </c>
      <c r="D303" s="37">
        <v>20000</v>
      </c>
      <c r="E303" s="37"/>
      <c r="F303" s="36"/>
      <c r="H303" s="131"/>
      <c r="I303" s="131"/>
      <c r="J303" s="131"/>
    </row>
    <row r="304" spans="2:10" ht="18" customHeight="1">
      <c r="B304" s="207" t="s">
        <v>200</v>
      </c>
      <c r="C304" s="37">
        <v>0</v>
      </c>
      <c r="D304" s="37">
        <v>133831.48000000001</v>
      </c>
      <c r="E304" s="37"/>
      <c r="F304" s="36"/>
      <c r="H304" s="131"/>
      <c r="I304" s="131"/>
      <c r="J304" s="131"/>
    </row>
    <row r="305" spans="2:25">
      <c r="B305" s="207" t="s">
        <v>201</v>
      </c>
      <c r="C305" s="37"/>
      <c r="D305" s="37">
        <v>98000</v>
      </c>
      <c r="E305" s="37"/>
      <c r="F305" s="110"/>
      <c r="H305" s="208"/>
      <c r="I305" s="131"/>
      <c r="J305" s="131"/>
    </row>
    <row r="306" spans="2:25" ht="18" customHeight="1">
      <c r="B306" s="207" t="s">
        <v>202</v>
      </c>
      <c r="C306" s="37"/>
      <c r="D306" s="37">
        <v>277000</v>
      </c>
      <c r="E306" s="37"/>
      <c r="F306" s="36"/>
      <c r="H306" s="131"/>
      <c r="I306" s="131"/>
      <c r="J306" s="131"/>
    </row>
    <row r="307" spans="2:25" ht="18" customHeight="1">
      <c r="B307" s="207" t="s">
        <v>203</v>
      </c>
      <c r="C307" s="37"/>
      <c r="D307" s="37">
        <v>198000</v>
      </c>
      <c r="E307" s="39"/>
      <c r="F307" s="36"/>
      <c r="H307" s="131"/>
      <c r="I307" s="131"/>
      <c r="J307" s="131"/>
    </row>
    <row r="308" spans="2:25" ht="18" customHeight="1">
      <c r="B308" s="207" t="s">
        <v>204</v>
      </c>
      <c r="C308" s="86"/>
      <c r="D308" s="86">
        <v>228000</v>
      </c>
      <c r="E308" s="39"/>
      <c r="F308" s="36"/>
      <c r="H308" s="131"/>
      <c r="I308" s="131"/>
      <c r="J308" s="131"/>
    </row>
    <row r="309" spans="2:25" ht="18" customHeight="1">
      <c r="B309" s="207" t="s">
        <v>205</v>
      </c>
      <c r="C309" s="37"/>
      <c r="D309" s="37">
        <v>199000</v>
      </c>
      <c r="E309" s="39"/>
      <c r="F309" s="36"/>
      <c r="H309" s="131"/>
      <c r="I309" s="131"/>
      <c r="J309" s="131"/>
    </row>
    <row r="310" spans="2:25" ht="18" customHeight="1">
      <c r="B310" s="38" t="s">
        <v>236</v>
      </c>
      <c r="C310" s="86"/>
      <c r="D310" s="37">
        <v>166000</v>
      </c>
      <c r="E310" s="39"/>
      <c r="F310" s="36"/>
      <c r="H310" s="131"/>
      <c r="I310" s="131"/>
      <c r="J310" s="131"/>
    </row>
    <row r="311" spans="2:25" ht="18" customHeight="1">
      <c r="B311" s="38" t="s">
        <v>237</v>
      </c>
      <c r="C311" s="37"/>
      <c r="D311" s="37">
        <v>445000</v>
      </c>
      <c r="E311" s="39"/>
      <c r="F311" s="36"/>
      <c r="H311" s="131"/>
      <c r="I311" s="131"/>
      <c r="J311" s="131"/>
    </row>
    <row r="312" spans="2:25" ht="18" customHeight="1">
      <c r="B312" s="38" t="s">
        <v>238</v>
      </c>
      <c r="C312" s="37"/>
      <c r="D312" s="37">
        <v>39000</v>
      </c>
      <c r="E312" s="39"/>
      <c r="F312" s="36"/>
      <c r="H312" s="131"/>
      <c r="I312" s="131"/>
      <c r="J312" s="131"/>
    </row>
    <row r="313" spans="2:25" ht="18" customHeight="1">
      <c r="B313" s="38" t="s">
        <v>272</v>
      </c>
      <c r="C313" s="86"/>
      <c r="D313" s="86">
        <v>521617</v>
      </c>
      <c r="E313" s="39"/>
      <c r="F313" s="36"/>
      <c r="H313" s="131"/>
      <c r="I313" s="131"/>
      <c r="J313" s="131"/>
    </row>
    <row r="314" spans="2:25" ht="18" customHeight="1">
      <c r="B314" s="38" t="s">
        <v>271</v>
      </c>
      <c r="C314" s="37"/>
      <c r="D314" s="37"/>
      <c r="E314" s="39"/>
      <c r="F314" s="36"/>
      <c r="H314" s="131"/>
      <c r="I314" s="131"/>
      <c r="J314" s="131"/>
    </row>
    <row r="315" spans="2:25" ht="18" customHeight="1">
      <c r="B315" s="193"/>
      <c r="C315" s="86"/>
      <c r="D315" s="86"/>
      <c r="E315" s="39"/>
      <c r="F315" s="36"/>
      <c r="H315" s="131"/>
      <c r="I315" s="131"/>
      <c r="J315" s="131"/>
    </row>
    <row r="316" spans="2:25" s="156" customFormat="1" ht="20.25" customHeight="1" thickBot="1">
      <c r="B316" s="195" t="s">
        <v>166</v>
      </c>
      <c r="C316" s="174">
        <f>SUM(C315:C315)</f>
        <v>0</v>
      </c>
      <c r="D316" s="174">
        <f>SUM(D301:D315)</f>
        <v>2358448.48</v>
      </c>
      <c r="E316" s="174"/>
      <c r="F316" s="197"/>
    </row>
    <row r="317" spans="2:25" ht="18" thickTop="1"/>
    <row r="319" spans="2:25">
      <c r="B319" s="199" t="s">
        <v>269</v>
      </c>
      <c r="G319" s="200"/>
      <c r="H319" s="201"/>
      <c r="I319" s="201"/>
      <c r="J319" s="201"/>
    </row>
    <row r="320" spans="2:25">
      <c r="B320" s="199" t="s">
        <v>283</v>
      </c>
      <c r="G320" s="131"/>
      <c r="H320" s="131"/>
      <c r="I320" s="131"/>
      <c r="J320" s="131"/>
      <c r="K320" s="131"/>
      <c r="L320" s="131"/>
      <c r="M320" s="131"/>
      <c r="N320" s="131"/>
      <c r="O320" s="131"/>
      <c r="P320" s="131"/>
      <c r="Q320" s="131"/>
      <c r="R320" s="131"/>
      <c r="S320" s="131"/>
      <c r="T320" s="131"/>
      <c r="U320" s="131"/>
      <c r="V320" s="131"/>
      <c r="W320" s="131"/>
      <c r="X320" s="131"/>
      <c r="Y320" s="131"/>
    </row>
    <row r="321" spans="2:25">
      <c r="B321" s="199"/>
      <c r="G321" s="131"/>
      <c r="H321" s="131"/>
      <c r="I321" s="131"/>
      <c r="J321" s="131"/>
      <c r="K321" s="131"/>
      <c r="L321" s="131"/>
      <c r="M321" s="131"/>
      <c r="N321" s="131"/>
      <c r="O321" s="131"/>
      <c r="P321" s="131"/>
      <c r="Q321" s="131"/>
      <c r="R321" s="131"/>
      <c r="S321" s="131"/>
      <c r="T321" s="131"/>
      <c r="U321" s="131"/>
      <c r="V321" s="131"/>
      <c r="W321" s="131"/>
      <c r="X321" s="131"/>
      <c r="Y321" s="131"/>
    </row>
    <row r="322" spans="2:25">
      <c r="B322" s="199"/>
      <c r="G322" s="131"/>
      <c r="H322" s="131"/>
      <c r="I322" s="131"/>
      <c r="J322" s="131"/>
      <c r="K322" s="131"/>
      <c r="L322" s="131"/>
      <c r="M322" s="131"/>
      <c r="N322" s="131"/>
      <c r="O322" s="131"/>
      <c r="P322" s="131"/>
      <c r="Q322" s="131"/>
      <c r="R322" s="131"/>
      <c r="S322" s="131"/>
      <c r="T322" s="131"/>
      <c r="U322" s="131"/>
      <c r="V322" s="131"/>
      <c r="W322" s="131"/>
      <c r="X322" s="131"/>
      <c r="Y322" s="131"/>
    </row>
    <row r="323" spans="2:25">
      <c r="B323" s="199"/>
      <c r="G323" s="131"/>
      <c r="H323" s="131"/>
      <c r="I323" s="131"/>
      <c r="J323" s="131"/>
      <c r="K323" s="131"/>
      <c r="L323" s="131"/>
      <c r="M323" s="131"/>
      <c r="N323" s="131"/>
      <c r="O323" s="131"/>
      <c r="P323" s="131"/>
      <c r="Q323" s="131"/>
      <c r="R323" s="131"/>
      <c r="S323" s="131"/>
      <c r="T323" s="131"/>
      <c r="U323" s="131"/>
      <c r="V323" s="131"/>
      <c r="W323" s="131"/>
      <c r="X323" s="131"/>
      <c r="Y323" s="131"/>
    </row>
    <row r="324" spans="2:25">
      <c r="B324" s="199"/>
      <c r="G324" s="131"/>
      <c r="H324" s="131"/>
      <c r="I324" s="131"/>
      <c r="J324" s="131"/>
      <c r="K324" s="131"/>
      <c r="L324" s="131"/>
      <c r="M324" s="131"/>
      <c r="N324" s="131"/>
      <c r="O324" s="131"/>
      <c r="P324" s="131"/>
      <c r="Q324" s="131"/>
      <c r="R324" s="131"/>
      <c r="S324" s="131"/>
      <c r="T324" s="131"/>
      <c r="U324" s="131"/>
      <c r="V324" s="131"/>
      <c r="W324" s="131"/>
      <c r="X324" s="131"/>
      <c r="Y324" s="131"/>
    </row>
    <row r="325" spans="2:25">
      <c r="B325" s="199"/>
      <c r="G325" s="131"/>
      <c r="H325" s="131"/>
      <c r="I325" s="131"/>
      <c r="J325" s="131"/>
      <c r="K325" s="131"/>
      <c r="L325" s="131"/>
      <c r="M325" s="131"/>
      <c r="N325" s="131"/>
      <c r="O325" s="131"/>
      <c r="P325" s="131"/>
      <c r="Q325" s="131"/>
      <c r="R325" s="131"/>
      <c r="S325" s="131"/>
      <c r="T325" s="131"/>
      <c r="U325" s="131"/>
      <c r="V325" s="131"/>
      <c r="W325" s="131"/>
      <c r="X325" s="131"/>
      <c r="Y325" s="131"/>
    </row>
    <row r="326" spans="2:25">
      <c r="B326" s="199"/>
      <c r="G326" s="131"/>
      <c r="H326" s="131"/>
      <c r="I326" s="131"/>
      <c r="J326" s="131"/>
      <c r="K326" s="131"/>
      <c r="L326" s="131"/>
      <c r="M326" s="131"/>
      <c r="N326" s="131"/>
      <c r="O326" s="131"/>
      <c r="P326" s="131"/>
      <c r="Q326" s="131"/>
      <c r="R326" s="131"/>
      <c r="S326" s="131"/>
      <c r="T326" s="131"/>
      <c r="U326" s="131"/>
      <c r="V326" s="131"/>
      <c r="W326" s="131"/>
      <c r="X326" s="131"/>
      <c r="Y326" s="131"/>
    </row>
    <row r="327" spans="2:25">
      <c r="B327" s="199"/>
      <c r="G327" s="131"/>
      <c r="H327" s="131"/>
      <c r="I327" s="131"/>
      <c r="J327" s="131"/>
      <c r="K327" s="131"/>
      <c r="L327" s="131"/>
      <c r="M327" s="131"/>
      <c r="N327" s="131"/>
      <c r="O327" s="131"/>
      <c r="P327" s="131"/>
      <c r="Q327" s="131"/>
      <c r="R327" s="131"/>
      <c r="S327" s="131"/>
      <c r="T327" s="131"/>
      <c r="U327" s="131"/>
      <c r="V327" s="131"/>
      <c r="W327" s="131"/>
      <c r="X327" s="131"/>
      <c r="Y327" s="131"/>
    </row>
    <row r="328" spans="2:25">
      <c r="B328" s="199"/>
      <c r="G328" s="131"/>
      <c r="H328" s="131"/>
      <c r="I328" s="131"/>
      <c r="J328" s="131"/>
      <c r="K328" s="131"/>
      <c r="L328" s="131"/>
      <c r="M328" s="131"/>
      <c r="N328" s="131"/>
      <c r="O328" s="131"/>
      <c r="P328" s="131"/>
      <c r="Q328" s="131"/>
      <c r="R328" s="131"/>
      <c r="S328" s="131"/>
      <c r="T328" s="131"/>
      <c r="U328" s="131"/>
      <c r="V328" s="131"/>
      <c r="W328" s="131"/>
      <c r="X328" s="131"/>
      <c r="Y328" s="131"/>
    </row>
    <row r="329" spans="2:25">
      <c r="B329" s="199"/>
      <c r="G329" s="131"/>
      <c r="H329" s="131"/>
      <c r="I329" s="131"/>
      <c r="J329" s="131"/>
      <c r="K329" s="131"/>
      <c r="L329" s="131"/>
      <c r="M329" s="131"/>
      <c r="N329" s="131"/>
      <c r="O329" s="131"/>
      <c r="P329" s="131"/>
      <c r="Q329" s="131"/>
      <c r="R329" s="131"/>
      <c r="S329" s="131"/>
      <c r="T329" s="131"/>
      <c r="U329" s="131"/>
      <c r="V329" s="131"/>
      <c r="W329" s="131"/>
      <c r="X329" s="131"/>
      <c r="Y329" s="131"/>
    </row>
    <row r="330" spans="2:25">
      <c r="B330" s="199"/>
      <c r="G330" s="131"/>
      <c r="H330" s="131"/>
      <c r="I330" s="131"/>
      <c r="J330" s="131"/>
      <c r="K330" s="131"/>
      <c r="L330" s="131"/>
      <c r="M330" s="131"/>
      <c r="N330" s="131"/>
      <c r="O330" s="131"/>
      <c r="P330" s="131"/>
      <c r="Q330" s="131"/>
      <c r="R330" s="131"/>
      <c r="S330" s="131"/>
      <c r="T330" s="131"/>
      <c r="U330" s="131"/>
      <c r="V330" s="131"/>
      <c r="W330" s="131"/>
      <c r="X330" s="131"/>
      <c r="Y330" s="131"/>
    </row>
    <row r="331" spans="2:25">
      <c r="B331" s="199"/>
      <c r="G331" s="131"/>
      <c r="H331" s="131"/>
      <c r="I331" s="131"/>
      <c r="J331" s="131"/>
      <c r="K331" s="131"/>
      <c r="L331" s="131"/>
      <c r="M331" s="131"/>
      <c r="N331" s="131"/>
      <c r="O331" s="131"/>
      <c r="P331" s="131"/>
      <c r="Q331" s="131"/>
      <c r="R331" s="131"/>
      <c r="S331" s="131"/>
      <c r="T331" s="131"/>
      <c r="U331" s="131"/>
      <c r="V331" s="131"/>
      <c r="W331" s="131"/>
      <c r="X331" s="131"/>
      <c r="Y331" s="131"/>
    </row>
    <row r="332" spans="2:25">
      <c r="B332" s="199"/>
      <c r="G332" s="131"/>
      <c r="H332" s="131"/>
      <c r="I332" s="131"/>
      <c r="J332" s="131"/>
      <c r="K332" s="131"/>
      <c r="L332" s="131"/>
      <c r="M332" s="131"/>
      <c r="N332" s="131"/>
      <c r="O332" s="131"/>
      <c r="P332" s="131"/>
      <c r="Q332" s="131"/>
      <c r="R332" s="131"/>
      <c r="S332" s="131"/>
      <c r="T332" s="131"/>
      <c r="U332" s="131"/>
      <c r="V332" s="131"/>
      <c r="W332" s="131"/>
      <c r="X332" s="131"/>
      <c r="Y332" s="131"/>
    </row>
    <row r="333" spans="2:25">
      <c r="B333" s="199"/>
      <c r="G333" s="131"/>
      <c r="H333" s="131"/>
      <c r="I333" s="131"/>
      <c r="J333" s="131"/>
      <c r="K333" s="131"/>
      <c r="L333" s="131"/>
      <c r="M333" s="131"/>
      <c r="N333" s="131"/>
      <c r="O333" s="131"/>
      <c r="P333" s="131"/>
      <c r="Q333" s="131"/>
      <c r="R333" s="131"/>
      <c r="S333" s="131"/>
      <c r="T333" s="131"/>
      <c r="U333" s="131"/>
      <c r="V333" s="131"/>
      <c r="W333" s="131"/>
      <c r="X333" s="131"/>
      <c r="Y333" s="131"/>
    </row>
    <row r="334" spans="2:25">
      <c r="B334" s="199"/>
      <c r="G334" s="131"/>
      <c r="H334" s="131"/>
      <c r="I334" s="131"/>
      <c r="J334" s="131"/>
      <c r="K334" s="131"/>
      <c r="L334" s="131"/>
      <c r="M334" s="131"/>
      <c r="N334" s="131"/>
      <c r="O334" s="131"/>
      <c r="P334" s="131"/>
      <c r="Q334" s="131"/>
      <c r="R334" s="131"/>
      <c r="S334" s="131"/>
      <c r="T334" s="131"/>
      <c r="U334" s="131"/>
      <c r="V334" s="131"/>
      <c r="W334" s="131"/>
      <c r="X334" s="131"/>
      <c r="Y334" s="131"/>
    </row>
    <row r="335" spans="2:25">
      <c r="B335" s="199"/>
      <c r="G335" s="131"/>
      <c r="H335" s="131"/>
      <c r="I335" s="131"/>
      <c r="J335" s="131"/>
      <c r="K335" s="131"/>
      <c r="L335" s="131"/>
      <c r="M335" s="131"/>
      <c r="N335" s="131"/>
      <c r="O335" s="131"/>
      <c r="P335" s="131"/>
      <c r="Q335" s="131"/>
      <c r="R335" s="131"/>
      <c r="S335" s="131"/>
      <c r="T335" s="131"/>
      <c r="U335" s="131"/>
      <c r="V335" s="131"/>
      <c r="W335" s="131"/>
      <c r="X335" s="131"/>
      <c r="Y335" s="131"/>
    </row>
    <row r="336" spans="2:25">
      <c r="B336" s="199"/>
      <c r="G336" s="131"/>
      <c r="H336" s="131"/>
      <c r="I336" s="131"/>
      <c r="J336" s="131"/>
      <c r="K336" s="131"/>
      <c r="L336" s="131"/>
      <c r="M336" s="131"/>
      <c r="N336" s="131"/>
      <c r="O336" s="131"/>
      <c r="P336" s="131"/>
      <c r="Q336" s="131"/>
      <c r="R336" s="131"/>
      <c r="S336" s="131"/>
      <c r="T336" s="131"/>
      <c r="U336" s="131"/>
      <c r="V336" s="131"/>
      <c r="W336" s="131"/>
      <c r="X336" s="131"/>
      <c r="Y336" s="131"/>
    </row>
    <row r="337" spans="2:25">
      <c r="B337" s="199"/>
      <c r="G337" s="131"/>
      <c r="H337" s="131"/>
      <c r="I337" s="131"/>
      <c r="J337" s="131"/>
      <c r="K337" s="131"/>
      <c r="L337" s="131"/>
      <c r="M337" s="131"/>
      <c r="N337" s="131"/>
      <c r="O337" s="131"/>
      <c r="P337" s="131"/>
      <c r="Q337" s="131"/>
      <c r="R337" s="131"/>
      <c r="S337" s="131"/>
      <c r="T337" s="131"/>
      <c r="U337" s="131"/>
      <c r="V337" s="131"/>
      <c r="W337" s="131"/>
      <c r="X337" s="131"/>
      <c r="Y337" s="131"/>
    </row>
    <row r="338" spans="2:25">
      <c r="B338" s="199"/>
      <c r="G338" s="131"/>
      <c r="H338" s="131"/>
      <c r="I338" s="131"/>
      <c r="J338" s="131"/>
      <c r="K338" s="131"/>
      <c r="L338" s="131"/>
      <c r="M338" s="131"/>
      <c r="N338" s="131"/>
      <c r="O338" s="131"/>
      <c r="P338" s="131"/>
      <c r="Q338" s="131"/>
      <c r="R338" s="131"/>
      <c r="S338" s="131"/>
      <c r="T338" s="131"/>
      <c r="U338" s="131"/>
      <c r="V338" s="131"/>
      <c r="W338" s="131"/>
      <c r="X338" s="131"/>
      <c r="Y338" s="131"/>
    </row>
    <row r="340" spans="2:25" ht="18" customHeight="1">
      <c r="B340" s="206" t="s">
        <v>279</v>
      </c>
    </row>
    <row r="341" spans="2:25" ht="18" customHeight="1">
      <c r="B341" s="203" t="s">
        <v>8</v>
      </c>
      <c r="C341" s="204" t="s">
        <v>58</v>
      </c>
      <c r="D341" s="204" t="s">
        <v>59</v>
      </c>
      <c r="E341" s="204" t="s">
        <v>60</v>
      </c>
      <c r="F341" s="201"/>
    </row>
    <row r="342" spans="2:25" ht="18" customHeight="1">
      <c r="B342" s="188" t="s">
        <v>61</v>
      </c>
      <c r="C342" s="209">
        <v>2079.17</v>
      </c>
      <c r="D342" s="209">
        <v>7286.73</v>
      </c>
      <c r="E342" s="189"/>
      <c r="F342" s="36"/>
    </row>
    <row r="343" spans="2:25" ht="18" customHeight="1">
      <c r="B343" s="191" t="s">
        <v>62</v>
      </c>
      <c r="C343" s="269">
        <v>24400</v>
      </c>
      <c r="D343" s="37">
        <v>1600</v>
      </c>
      <c r="E343" s="37"/>
      <c r="F343" s="210"/>
    </row>
    <row r="344" spans="2:25" ht="18" customHeight="1">
      <c r="B344" s="191" t="s">
        <v>153</v>
      </c>
      <c r="C344" s="37">
        <v>0</v>
      </c>
      <c r="D344" s="37">
        <v>0</v>
      </c>
      <c r="E344" s="37"/>
      <c r="F344" s="36"/>
    </row>
    <row r="345" spans="2:25" ht="18" customHeight="1">
      <c r="B345" s="191" t="s">
        <v>155</v>
      </c>
      <c r="C345" s="37">
        <v>0</v>
      </c>
      <c r="D345" s="37">
        <v>0</v>
      </c>
      <c r="E345" s="37"/>
      <c r="F345" s="36"/>
    </row>
    <row r="346" spans="2:25" ht="18" customHeight="1">
      <c r="B346" s="191" t="s">
        <v>156</v>
      </c>
      <c r="C346" s="37">
        <v>11624</v>
      </c>
      <c r="D346" s="37">
        <v>11624</v>
      </c>
      <c r="E346" s="37"/>
      <c r="F346" s="210"/>
    </row>
    <row r="347" spans="2:25" ht="18" customHeight="1">
      <c r="B347" s="191" t="s">
        <v>70</v>
      </c>
      <c r="C347" s="37">
        <v>0</v>
      </c>
      <c r="D347" s="37">
        <v>0</v>
      </c>
      <c r="E347" s="37"/>
      <c r="F347" s="211"/>
      <c r="G347" s="212"/>
    </row>
    <row r="348" spans="2:25" ht="18" customHeight="1">
      <c r="B348" s="191" t="s">
        <v>157</v>
      </c>
      <c r="C348" s="37">
        <v>0</v>
      </c>
      <c r="D348" s="37">
        <v>80</v>
      </c>
      <c r="E348" s="37"/>
      <c r="F348" s="36"/>
    </row>
    <row r="349" spans="2:25" ht="18" customHeight="1">
      <c r="B349" s="191" t="s">
        <v>150</v>
      </c>
      <c r="C349" s="37">
        <v>0</v>
      </c>
      <c r="D349" s="37">
        <v>0</v>
      </c>
      <c r="E349" s="37"/>
      <c r="F349" s="36"/>
    </row>
    <row r="350" spans="2:25" ht="18" customHeight="1">
      <c r="B350" s="192"/>
      <c r="C350" s="37"/>
      <c r="D350" s="86"/>
      <c r="E350" s="37"/>
      <c r="F350" s="36"/>
    </row>
    <row r="351" spans="2:25" ht="18" customHeight="1">
      <c r="B351" s="193"/>
      <c r="C351" s="86"/>
      <c r="D351" s="86"/>
      <c r="E351" s="39"/>
      <c r="F351" s="36"/>
    </row>
    <row r="352" spans="2:25" s="156" customFormat="1" ht="18" customHeight="1" thickBot="1">
      <c r="B352" s="195" t="s">
        <v>27</v>
      </c>
      <c r="C352" s="174">
        <f>SUM(C342:C350)</f>
        <v>38103.17</v>
      </c>
      <c r="D352" s="174">
        <f>SUM(D342:D350)</f>
        <v>20590.73</v>
      </c>
      <c r="E352" s="174"/>
      <c r="F352" s="197"/>
    </row>
    <row r="353" spans="2:7" s="156" customFormat="1" ht="18" customHeight="1" thickTop="1">
      <c r="B353" s="198"/>
      <c r="C353" s="197"/>
      <c r="D353" s="197"/>
      <c r="E353" s="197"/>
      <c r="F353" s="197"/>
    </row>
    <row r="354" spans="2:7" ht="18" customHeight="1">
      <c r="B354" s="206" t="s">
        <v>280</v>
      </c>
    </row>
    <row r="355" spans="2:7" ht="18" customHeight="1">
      <c r="B355" s="203" t="s">
        <v>8</v>
      </c>
      <c r="C355" s="204" t="s">
        <v>58</v>
      </c>
      <c r="D355" s="204" t="s">
        <v>59</v>
      </c>
      <c r="E355" s="204" t="s">
        <v>60</v>
      </c>
      <c r="F355" s="201"/>
    </row>
    <row r="356" spans="2:7" ht="18" customHeight="1">
      <c r="B356" s="188" t="s">
        <v>61</v>
      </c>
      <c r="C356" s="209">
        <f>9751.5+7286.73+2079.17</f>
        <v>19117.400000000001</v>
      </c>
      <c r="D356" s="209">
        <f>3678.26+9751.5+7286.73</f>
        <v>20716.489999999998</v>
      </c>
      <c r="E356" s="189"/>
      <c r="F356" s="36"/>
    </row>
    <row r="357" spans="2:7" ht="18" customHeight="1">
      <c r="B357" s="191" t="s">
        <v>62</v>
      </c>
      <c r="C357" s="37">
        <f>24400</f>
        <v>24400</v>
      </c>
      <c r="D357" s="37">
        <f>42255+1600</f>
        <v>43855</v>
      </c>
      <c r="E357" s="37"/>
      <c r="F357" s="210"/>
    </row>
    <row r="358" spans="2:7" ht="18" customHeight="1">
      <c r="B358" s="191" t="s">
        <v>153</v>
      </c>
      <c r="C358" s="37">
        <v>0</v>
      </c>
      <c r="D358" s="37">
        <v>0</v>
      </c>
      <c r="E358" s="37"/>
      <c r="F358" s="36"/>
    </row>
    <row r="359" spans="2:7" ht="18" customHeight="1">
      <c r="B359" s="191" t="s">
        <v>155</v>
      </c>
      <c r="C359" s="37">
        <v>31.74</v>
      </c>
      <c r="D359" s="37">
        <v>5022.12</v>
      </c>
      <c r="E359" s="37"/>
      <c r="F359" s="36"/>
    </row>
    <row r="360" spans="2:7" ht="18" customHeight="1">
      <c r="B360" s="191" t="s">
        <v>156</v>
      </c>
      <c r="C360" s="37">
        <f>11511+11850+11624</f>
        <v>34985</v>
      </c>
      <c r="D360" s="37">
        <f>11511+11850+11624</f>
        <v>34985</v>
      </c>
      <c r="E360" s="37"/>
      <c r="F360" s="210"/>
    </row>
    <row r="361" spans="2:7" ht="18" customHeight="1">
      <c r="B361" s="191" t="s">
        <v>70</v>
      </c>
      <c r="C361" s="37">
        <v>0</v>
      </c>
      <c r="D361" s="37">
        <v>0</v>
      </c>
      <c r="E361" s="37"/>
      <c r="F361" s="211"/>
      <c r="G361" s="212"/>
    </row>
    <row r="362" spans="2:7" ht="18" customHeight="1">
      <c r="B362" s="191" t="s">
        <v>157</v>
      </c>
      <c r="C362" s="37">
        <v>80</v>
      </c>
      <c r="D362" s="37">
        <v>80</v>
      </c>
      <c r="E362" s="37"/>
      <c r="F362" s="36"/>
    </row>
    <row r="363" spans="2:7" ht="18" customHeight="1">
      <c r="B363" s="191" t="s">
        <v>150</v>
      </c>
      <c r="C363" s="37">
        <v>0</v>
      </c>
      <c r="D363" s="37">
        <v>0</v>
      </c>
      <c r="E363" s="37"/>
      <c r="F363" s="36"/>
    </row>
    <row r="364" spans="2:7" ht="18" customHeight="1">
      <c r="B364" s="192"/>
      <c r="C364" s="37"/>
      <c r="D364" s="86"/>
      <c r="E364" s="37"/>
      <c r="F364" s="36"/>
    </row>
    <row r="365" spans="2:7" ht="18" customHeight="1">
      <c r="B365" s="193"/>
      <c r="C365" s="86"/>
      <c r="D365" s="86"/>
      <c r="E365" s="39"/>
      <c r="F365" s="36"/>
    </row>
    <row r="366" spans="2:7" s="156" customFormat="1" ht="18" customHeight="1" thickBot="1">
      <c r="B366" s="195" t="s">
        <v>27</v>
      </c>
      <c r="C366" s="174">
        <f>SUM(C356:C364)</f>
        <v>78614.14</v>
      </c>
      <c r="D366" s="174">
        <f>SUM(D356:D364)</f>
        <v>104658.61</v>
      </c>
      <c r="E366" s="174"/>
      <c r="F366" s="197"/>
    </row>
    <row r="367" spans="2:7" ht="18" thickTop="1"/>
    <row r="369" spans="2:25">
      <c r="B369" s="199" t="s">
        <v>281</v>
      </c>
      <c r="G369" s="200"/>
      <c r="H369" s="201"/>
      <c r="I369" s="201"/>
      <c r="J369" s="201"/>
    </row>
    <row r="370" spans="2:25">
      <c r="B370" s="199" t="s">
        <v>282</v>
      </c>
      <c r="G370" s="131"/>
      <c r="H370" s="131"/>
      <c r="I370" s="131"/>
      <c r="J370" s="131"/>
      <c r="K370" s="131"/>
      <c r="L370" s="131"/>
      <c r="M370" s="131"/>
      <c r="N370" s="131"/>
      <c r="O370" s="131"/>
      <c r="P370" s="131"/>
      <c r="Q370" s="131"/>
      <c r="R370" s="131"/>
      <c r="S370" s="131"/>
      <c r="T370" s="131"/>
      <c r="U370" s="131"/>
      <c r="V370" s="131"/>
      <c r="W370" s="131"/>
      <c r="X370" s="131"/>
      <c r="Y370" s="131"/>
    </row>
    <row r="371" spans="2:25">
      <c r="B371" s="199"/>
      <c r="G371" s="131"/>
      <c r="H371" s="131"/>
      <c r="I371" s="131"/>
      <c r="J371" s="131"/>
      <c r="K371" s="131"/>
      <c r="L371" s="131"/>
      <c r="M371" s="131"/>
      <c r="N371" s="131"/>
      <c r="O371" s="131"/>
      <c r="P371" s="131"/>
      <c r="Q371" s="131"/>
      <c r="R371" s="131"/>
      <c r="S371" s="131"/>
      <c r="T371" s="131"/>
      <c r="U371" s="131"/>
      <c r="V371" s="131"/>
      <c r="W371" s="131"/>
      <c r="X371" s="131"/>
      <c r="Y371" s="131"/>
    </row>
    <row r="372" spans="2:25">
      <c r="B372" s="199"/>
      <c r="G372" s="131"/>
      <c r="H372" s="131"/>
      <c r="I372" s="131"/>
      <c r="J372" s="131"/>
      <c r="K372" s="131"/>
      <c r="L372" s="131"/>
      <c r="M372" s="131"/>
      <c r="N372" s="131"/>
      <c r="O372" s="131"/>
      <c r="P372" s="131"/>
      <c r="Q372" s="131"/>
      <c r="R372" s="131"/>
      <c r="S372" s="131"/>
      <c r="T372" s="131"/>
      <c r="U372" s="131"/>
      <c r="V372" s="131"/>
      <c r="W372" s="131"/>
      <c r="X372" s="131"/>
      <c r="Y372" s="131"/>
    </row>
    <row r="373" spans="2:25">
      <c r="B373" s="199"/>
      <c r="G373" s="131"/>
      <c r="H373" s="131"/>
      <c r="I373" s="131"/>
      <c r="J373" s="131"/>
      <c r="K373" s="131"/>
      <c r="L373" s="131"/>
      <c r="M373" s="131"/>
      <c r="N373" s="131"/>
      <c r="O373" s="131"/>
      <c r="P373" s="131"/>
      <c r="Q373" s="131"/>
      <c r="R373" s="131"/>
      <c r="S373" s="131"/>
      <c r="T373" s="131"/>
      <c r="U373" s="131"/>
      <c r="V373" s="131"/>
      <c r="W373" s="131"/>
      <c r="X373" s="131"/>
      <c r="Y373" s="131"/>
    </row>
    <row r="374" spans="2:25">
      <c r="B374" s="199"/>
      <c r="G374" s="131"/>
      <c r="H374" s="131"/>
      <c r="I374" s="131"/>
      <c r="J374" s="131"/>
      <c r="K374" s="131"/>
      <c r="L374" s="131"/>
      <c r="M374" s="131"/>
      <c r="N374" s="131"/>
      <c r="O374" s="131"/>
      <c r="P374" s="131"/>
      <c r="Q374" s="131"/>
      <c r="R374" s="131"/>
      <c r="S374" s="131"/>
      <c r="T374" s="131"/>
      <c r="U374" s="131"/>
      <c r="V374" s="131"/>
      <c r="W374" s="131"/>
      <c r="X374" s="131"/>
      <c r="Y374" s="131"/>
    </row>
    <row r="375" spans="2:25">
      <c r="B375" s="199"/>
      <c r="G375" s="131"/>
      <c r="H375" s="131"/>
      <c r="I375" s="131"/>
      <c r="J375" s="131"/>
      <c r="K375" s="131"/>
      <c r="L375" s="131"/>
      <c r="M375" s="131"/>
      <c r="N375" s="131"/>
      <c r="O375" s="131"/>
      <c r="P375" s="131"/>
      <c r="Q375" s="131"/>
      <c r="R375" s="131"/>
      <c r="S375" s="131"/>
      <c r="T375" s="131"/>
      <c r="U375" s="131"/>
      <c r="V375" s="131"/>
      <c r="W375" s="131"/>
      <c r="X375" s="131"/>
      <c r="Y375" s="131"/>
    </row>
    <row r="376" spans="2:25">
      <c r="B376" s="199"/>
      <c r="G376" s="131"/>
      <c r="H376" s="131"/>
      <c r="I376" s="131"/>
      <c r="J376" s="131"/>
      <c r="K376" s="131"/>
      <c r="L376" s="131"/>
      <c r="M376" s="131"/>
      <c r="N376" s="131"/>
      <c r="O376" s="131"/>
      <c r="P376" s="131"/>
      <c r="Q376" s="131"/>
      <c r="R376" s="131"/>
      <c r="S376" s="131"/>
      <c r="T376" s="131"/>
      <c r="U376" s="131"/>
      <c r="V376" s="131"/>
      <c r="W376" s="131"/>
      <c r="X376" s="131"/>
      <c r="Y376" s="131"/>
    </row>
    <row r="377" spans="2:25">
      <c r="B377" s="199"/>
      <c r="G377" s="131"/>
      <c r="H377" s="131"/>
      <c r="I377" s="131"/>
      <c r="J377" s="131"/>
      <c r="K377" s="131"/>
      <c r="L377" s="131"/>
      <c r="M377" s="131"/>
      <c r="N377" s="131"/>
      <c r="O377" s="131"/>
      <c r="P377" s="131"/>
      <c r="Q377" s="131"/>
      <c r="R377" s="131"/>
      <c r="S377" s="131"/>
      <c r="T377" s="131"/>
      <c r="U377" s="131"/>
      <c r="V377" s="131"/>
      <c r="W377" s="131"/>
      <c r="X377" s="131"/>
      <c r="Y377" s="131"/>
    </row>
    <row r="378" spans="2:25">
      <c r="B378" s="199"/>
      <c r="G378" s="131"/>
      <c r="H378" s="131"/>
      <c r="I378" s="131"/>
      <c r="J378" s="131"/>
      <c r="K378" s="131"/>
      <c r="L378" s="131"/>
      <c r="M378" s="131"/>
      <c r="N378" s="131"/>
      <c r="O378" s="131"/>
      <c r="P378" s="131"/>
      <c r="Q378" s="131"/>
      <c r="R378" s="131"/>
      <c r="S378" s="131"/>
      <c r="T378" s="131"/>
      <c r="U378" s="131"/>
      <c r="V378" s="131"/>
      <c r="W378" s="131"/>
      <c r="X378" s="131"/>
      <c r="Y378" s="131"/>
    </row>
    <row r="379" spans="2:25">
      <c r="B379" s="199"/>
      <c r="G379" s="131"/>
      <c r="H379" s="131"/>
      <c r="I379" s="131"/>
      <c r="J379" s="131"/>
      <c r="K379" s="131"/>
      <c r="L379" s="131"/>
      <c r="M379" s="131"/>
      <c r="N379" s="131"/>
      <c r="O379" s="131"/>
      <c r="P379" s="131"/>
      <c r="Q379" s="131"/>
      <c r="R379" s="131"/>
      <c r="S379" s="131"/>
      <c r="T379" s="131"/>
      <c r="U379" s="131"/>
      <c r="V379" s="131"/>
      <c r="W379" s="131"/>
      <c r="X379" s="131"/>
      <c r="Y379" s="131"/>
    </row>
    <row r="380" spans="2:25">
      <c r="B380" s="199"/>
      <c r="G380" s="131"/>
      <c r="H380" s="131"/>
      <c r="I380" s="131"/>
      <c r="J380" s="131"/>
      <c r="K380" s="131"/>
      <c r="L380" s="131"/>
      <c r="M380" s="131"/>
      <c r="N380" s="131"/>
      <c r="O380" s="131"/>
      <c r="P380" s="131"/>
      <c r="Q380" s="131"/>
      <c r="R380" s="131"/>
      <c r="S380" s="131"/>
      <c r="T380" s="131"/>
      <c r="U380" s="131"/>
      <c r="V380" s="131"/>
      <c r="W380" s="131"/>
      <c r="X380" s="131"/>
      <c r="Y380" s="131"/>
    </row>
    <row r="381" spans="2:25">
      <c r="B381" s="199"/>
      <c r="G381" s="131"/>
      <c r="H381" s="131"/>
      <c r="I381" s="131"/>
      <c r="J381" s="131"/>
      <c r="K381" s="131"/>
      <c r="L381" s="131"/>
      <c r="M381" s="131"/>
      <c r="N381" s="131"/>
      <c r="O381" s="131"/>
      <c r="P381" s="131"/>
      <c r="Q381" s="131"/>
      <c r="R381" s="131"/>
      <c r="S381" s="131"/>
      <c r="T381" s="131"/>
      <c r="U381" s="131"/>
      <c r="V381" s="131"/>
      <c r="W381" s="131"/>
      <c r="X381" s="131"/>
      <c r="Y381" s="131"/>
    </row>
    <row r="382" spans="2:25">
      <c r="B382" s="199"/>
      <c r="G382" s="131"/>
      <c r="H382" s="131"/>
      <c r="I382" s="131"/>
      <c r="J382" s="131"/>
      <c r="K382" s="131"/>
      <c r="L382" s="131"/>
      <c r="M382" s="131"/>
      <c r="N382" s="131"/>
      <c r="O382" s="131"/>
      <c r="P382" s="131"/>
      <c r="Q382" s="131"/>
      <c r="R382" s="131"/>
      <c r="S382" s="131"/>
      <c r="T382" s="131"/>
      <c r="U382" s="131"/>
      <c r="V382" s="131"/>
      <c r="W382" s="131"/>
      <c r="X382" s="131"/>
      <c r="Y382" s="131"/>
    </row>
    <row r="383" spans="2:25">
      <c r="B383" s="199"/>
      <c r="G383" s="131"/>
      <c r="H383" s="131"/>
      <c r="I383" s="131"/>
      <c r="J383" s="131"/>
      <c r="K383" s="131"/>
      <c r="L383" s="131"/>
      <c r="M383" s="131"/>
      <c r="N383" s="131"/>
      <c r="O383" s="131"/>
      <c r="P383" s="131"/>
      <c r="Q383" s="131"/>
      <c r="R383" s="131"/>
      <c r="S383" s="131"/>
      <c r="T383" s="131"/>
      <c r="U383" s="131"/>
      <c r="V383" s="131"/>
      <c r="W383" s="131"/>
      <c r="X383" s="131"/>
      <c r="Y383" s="131"/>
    </row>
    <row r="384" spans="2:25">
      <c r="B384" s="199"/>
      <c r="G384" s="131"/>
      <c r="H384" s="131"/>
      <c r="I384" s="131"/>
      <c r="J384" s="131"/>
      <c r="K384" s="131"/>
      <c r="L384" s="131"/>
      <c r="M384" s="131"/>
      <c r="N384" s="131"/>
      <c r="O384" s="131"/>
      <c r="P384" s="131"/>
      <c r="Q384" s="131"/>
      <c r="R384" s="131"/>
      <c r="S384" s="131"/>
      <c r="T384" s="131"/>
      <c r="U384" s="131"/>
      <c r="V384" s="131"/>
      <c r="W384" s="131"/>
      <c r="X384" s="131"/>
      <c r="Y384" s="131"/>
    </row>
    <row r="386" spans="2:6">
      <c r="B386" s="202" t="s">
        <v>292</v>
      </c>
      <c r="F386" s="110"/>
    </row>
    <row r="387" spans="2:6" ht="17.25" customHeight="1">
      <c r="B387" s="203" t="s">
        <v>8</v>
      </c>
      <c r="C387" s="204" t="s">
        <v>293</v>
      </c>
      <c r="D387" s="204" t="s">
        <v>57</v>
      </c>
      <c r="E387" s="205" t="s">
        <v>294</v>
      </c>
      <c r="F387" s="201"/>
    </row>
    <row r="388" spans="2:6" ht="19.5" customHeight="1">
      <c r="B388" s="188" t="s">
        <v>42</v>
      </c>
      <c r="C388" s="189">
        <v>0</v>
      </c>
      <c r="D388" s="189">
        <v>2552</v>
      </c>
      <c r="E388" s="190">
        <f>SUM(C388+D388)</f>
        <v>2552</v>
      </c>
      <c r="F388" s="36"/>
    </row>
    <row r="389" spans="2:6" ht="17.25" customHeight="1">
      <c r="B389" s="191" t="s">
        <v>43</v>
      </c>
      <c r="C389" s="37">
        <v>497.26</v>
      </c>
      <c r="D389" s="37">
        <v>297.04000000000002</v>
      </c>
      <c r="E389" s="37">
        <f t="shared" ref="E389:E413" si="3">SUM(C389+D389)</f>
        <v>794.3</v>
      </c>
      <c r="F389" s="36"/>
    </row>
    <row r="390" spans="2:6" ht="17.25" customHeight="1">
      <c r="B390" s="191" t="s">
        <v>44</v>
      </c>
      <c r="C390" s="37">
        <v>0</v>
      </c>
      <c r="D390" s="37">
        <v>1600</v>
      </c>
      <c r="E390" s="37">
        <f t="shared" si="3"/>
        <v>1600</v>
      </c>
      <c r="F390" s="36"/>
    </row>
    <row r="391" spans="2:6" ht="17.25" customHeight="1">
      <c r="B391" s="191" t="s">
        <v>188</v>
      </c>
      <c r="C391" s="37">
        <v>0</v>
      </c>
      <c r="D391" s="37">
        <v>0</v>
      </c>
      <c r="E391" s="37">
        <f t="shared" si="3"/>
        <v>0</v>
      </c>
      <c r="F391" s="36"/>
    </row>
    <row r="392" spans="2:6" ht="17.25" customHeight="1">
      <c r="B392" s="191" t="s">
        <v>73</v>
      </c>
      <c r="C392" s="37">
        <v>0</v>
      </c>
      <c r="D392" s="37">
        <v>0</v>
      </c>
      <c r="E392" s="37">
        <f t="shared" si="3"/>
        <v>0</v>
      </c>
      <c r="F392" s="36"/>
    </row>
    <row r="393" spans="2:6" ht="17.25" customHeight="1">
      <c r="B393" s="191" t="s">
        <v>46</v>
      </c>
      <c r="C393" s="37">
        <f>82</f>
        <v>82</v>
      </c>
      <c r="D393" s="37">
        <v>151</v>
      </c>
      <c r="E393" s="37">
        <f t="shared" si="3"/>
        <v>233</v>
      </c>
      <c r="F393" s="36"/>
    </row>
    <row r="394" spans="2:6" ht="17.25" customHeight="1">
      <c r="B394" s="191" t="s">
        <v>75</v>
      </c>
      <c r="C394" s="37">
        <f>30</f>
        <v>30</v>
      </c>
      <c r="D394" s="37">
        <v>30</v>
      </c>
      <c r="E394" s="37">
        <f t="shared" si="3"/>
        <v>60</v>
      </c>
      <c r="F394" s="36"/>
    </row>
    <row r="395" spans="2:6" ht="17.25" customHeight="1">
      <c r="B395" s="191" t="s">
        <v>64</v>
      </c>
      <c r="C395" s="37">
        <f>190</f>
        <v>190</v>
      </c>
      <c r="D395" s="37">
        <v>140</v>
      </c>
      <c r="E395" s="37">
        <f t="shared" si="3"/>
        <v>330</v>
      </c>
      <c r="F395" s="36"/>
    </row>
    <row r="396" spans="2:6" ht="17.25" customHeight="1">
      <c r="B396" s="191" t="s">
        <v>65</v>
      </c>
      <c r="C396" s="37">
        <f>800</f>
        <v>800</v>
      </c>
      <c r="D396" s="37">
        <v>0</v>
      </c>
      <c r="E396" s="37">
        <f t="shared" si="3"/>
        <v>800</v>
      </c>
      <c r="F396" s="36"/>
    </row>
    <row r="397" spans="2:6" ht="17.25" customHeight="1">
      <c r="B397" s="191" t="s">
        <v>160</v>
      </c>
      <c r="C397" s="37">
        <v>0</v>
      </c>
      <c r="D397" s="37">
        <v>0</v>
      </c>
      <c r="E397" s="37">
        <f t="shared" si="3"/>
        <v>0</v>
      </c>
      <c r="F397" s="36"/>
    </row>
    <row r="398" spans="2:6" ht="17.25" customHeight="1">
      <c r="B398" s="191" t="s">
        <v>74</v>
      </c>
      <c r="C398" s="37">
        <f>14000</f>
        <v>14000</v>
      </c>
      <c r="D398" s="37">
        <v>1100</v>
      </c>
      <c r="E398" s="37">
        <f t="shared" si="3"/>
        <v>15100</v>
      </c>
      <c r="F398" s="36"/>
    </row>
    <row r="399" spans="2:6" ht="17.25" customHeight="1">
      <c r="B399" s="191" t="s">
        <v>55</v>
      </c>
      <c r="C399" s="37">
        <f>75</f>
        <v>75</v>
      </c>
      <c r="D399" s="37">
        <v>75</v>
      </c>
      <c r="E399" s="37">
        <f t="shared" si="3"/>
        <v>150</v>
      </c>
      <c r="F399" s="36"/>
    </row>
    <row r="400" spans="2:6" ht="17.25" customHeight="1">
      <c r="B400" s="191" t="s">
        <v>56</v>
      </c>
      <c r="C400" s="37">
        <v>0</v>
      </c>
      <c r="D400" s="37">
        <v>480</v>
      </c>
      <c r="E400" s="37">
        <f t="shared" si="3"/>
        <v>480</v>
      </c>
      <c r="F400" s="36"/>
    </row>
    <row r="401" spans="2:6" ht="17.25" customHeight="1">
      <c r="B401" s="192" t="s">
        <v>53</v>
      </c>
      <c r="C401" s="37">
        <v>0</v>
      </c>
      <c r="D401" s="37">
        <v>53111.51</v>
      </c>
      <c r="E401" s="37">
        <f t="shared" si="3"/>
        <v>53111.51</v>
      </c>
      <c r="F401" s="36"/>
    </row>
    <row r="402" spans="2:6" ht="17.25" customHeight="1">
      <c r="B402" s="192" t="s">
        <v>77</v>
      </c>
      <c r="C402" s="37">
        <f>2000</f>
        <v>2000</v>
      </c>
      <c r="D402" s="37">
        <v>0</v>
      </c>
      <c r="E402" s="37">
        <f t="shared" si="3"/>
        <v>2000</v>
      </c>
      <c r="F402" s="36"/>
    </row>
    <row r="403" spans="2:6" ht="17.25" customHeight="1">
      <c r="B403" s="192" t="s">
        <v>76</v>
      </c>
      <c r="C403" s="37">
        <f>296</f>
        <v>296</v>
      </c>
      <c r="D403" s="37">
        <v>28</v>
      </c>
      <c r="E403" s="37">
        <f t="shared" si="3"/>
        <v>324</v>
      </c>
      <c r="F403" s="36"/>
    </row>
    <row r="404" spans="2:6" ht="17.25" customHeight="1">
      <c r="B404" s="192" t="s">
        <v>158</v>
      </c>
      <c r="C404" s="37">
        <f>135994.96</f>
        <v>135994.96</v>
      </c>
      <c r="D404" s="37">
        <v>36835.18</v>
      </c>
      <c r="E404" s="37">
        <f t="shared" si="3"/>
        <v>172830.13999999998</v>
      </c>
      <c r="F404" s="36"/>
    </row>
    <row r="405" spans="2:6" ht="17.25" customHeight="1">
      <c r="B405" s="191" t="s">
        <v>66</v>
      </c>
      <c r="C405" s="37">
        <f>2447190.51</f>
        <v>2447190.5099999998</v>
      </c>
      <c r="D405" s="37">
        <v>579396.57999999996</v>
      </c>
      <c r="E405" s="37">
        <f t="shared" si="3"/>
        <v>3026587.09</v>
      </c>
      <c r="F405" s="36"/>
    </row>
    <row r="406" spans="2:6" ht="17.25" customHeight="1">
      <c r="B406" s="191" t="s">
        <v>67</v>
      </c>
      <c r="C406" s="37">
        <f>547877.04</f>
        <v>547877.04</v>
      </c>
      <c r="D406" s="37">
        <v>192322.52</v>
      </c>
      <c r="E406" s="37">
        <f t="shared" si="3"/>
        <v>740199.56</v>
      </c>
      <c r="F406" s="36"/>
    </row>
    <row r="407" spans="2:6" ht="17.25" customHeight="1">
      <c r="B407" s="38" t="s">
        <v>48</v>
      </c>
      <c r="C407" s="111">
        <f>31194.94</f>
        <v>31194.94</v>
      </c>
      <c r="D407" s="37">
        <v>0</v>
      </c>
      <c r="E407" s="37">
        <f t="shared" si="3"/>
        <v>31194.94</v>
      </c>
      <c r="F407" s="36"/>
    </row>
    <row r="408" spans="2:6" ht="17.25" customHeight="1">
      <c r="B408" s="191" t="s">
        <v>49</v>
      </c>
      <c r="C408" s="37">
        <v>0</v>
      </c>
      <c r="D408" s="37">
        <v>0</v>
      </c>
      <c r="E408" s="37">
        <f t="shared" si="3"/>
        <v>0</v>
      </c>
      <c r="F408" s="36"/>
    </row>
    <row r="409" spans="2:6" ht="17.25" customHeight="1">
      <c r="B409" s="191" t="s">
        <v>50</v>
      </c>
      <c r="C409" s="37">
        <v>1159334.51</v>
      </c>
      <c r="D409" s="37">
        <v>384550.04</v>
      </c>
      <c r="E409" s="37">
        <f t="shared" si="3"/>
        <v>1543884.55</v>
      </c>
      <c r="F409" s="36"/>
    </row>
    <row r="410" spans="2:6" ht="17.25" customHeight="1">
      <c r="B410" s="192" t="s">
        <v>54</v>
      </c>
      <c r="C410" s="37">
        <v>18106.79</v>
      </c>
      <c r="D410" s="37">
        <v>0</v>
      </c>
      <c r="E410" s="37">
        <f t="shared" si="3"/>
        <v>18106.79</v>
      </c>
      <c r="F410" s="36"/>
    </row>
    <row r="411" spans="2:6" ht="17.25" customHeight="1">
      <c r="B411" s="191" t="s">
        <v>51</v>
      </c>
      <c r="C411" s="37">
        <v>11585.92</v>
      </c>
      <c r="D411" s="37">
        <v>0</v>
      </c>
      <c r="E411" s="37">
        <f t="shared" si="3"/>
        <v>11585.92</v>
      </c>
      <c r="F411" s="36"/>
    </row>
    <row r="412" spans="2:6" ht="17.25" customHeight="1">
      <c r="B412" s="191" t="s">
        <v>47</v>
      </c>
      <c r="C412" s="37">
        <v>107200</v>
      </c>
      <c r="D412" s="37">
        <v>11232</v>
      </c>
      <c r="E412" s="37">
        <f t="shared" si="3"/>
        <v>118432</v>
      </c>
      <c r="F412" s="36"/>
    </row>
    <row r="413" spans="2:6" ht="17.25" customHeight="1">
      <c r="B413" s="191" t="s">
        <v>52</v>
      </c>
      <c r="C413" s="37">
        <v>5566536</v>
      </c>
      <c r="D413" s="37">
        <v>4689911</v>
      </c>
      <c r="E413" s="37">
        <f t="shared" si="3"/>
        <v>10256447</v>
      </c>
      <c r="F413" s="36"/>
    </row>
    <row r="414" spans="2:6" ht="17.25" customHeight="1">
      <c r="B414" s="193"/>
      <c r="C414" s="86"/>
      <c r="D414" s="194"/>
      <c r="E414" s="194"/>
      <c r="F414" s="36"/>
    </row>
    <row r="415" spans="2:6" s="156" customFormat="1" ht="17.25" customHeight="1" thickBot="1">
      <c r="B415" s="195" t="s">
        <v>165</v>
      </c>
      <c r="C415" s="174">
        <f>SUM(C388:C414)</f>
        <v>10042990.93</v>
      </c>
      <c r="D415" s="174">
        <f>SUM(D388:D414)</f>
        <v>5953811.8700000001</v>
      </c>
      <c r="E415" s="196">
        <f>SUM(E388:E414)</f>
        <v>15996802.800000001</v>
      </c>
      <c r="F415" s="197"/>
    </row>
    <row r="416" spans="2:6" s="156" customFormat="1" ht="17.25" customHeight="1" thickTop="1">
      <c r="B416" s="198"/>
      <c r="D416" s="197"/>
      <c r="E416" s="197"/>
      <c r="F416" s="197"/>
    </row>
    <row r="417" spans="2:25" s="156" customFormat="1" ht="17.25" customHeight="1">
      <c r="B417" s="198"/>
      <c r="C417" s="197"/>
      <c r="D417" s="197"/>
      <c r="E417" s="197"/>
      <c r="F417" s="197"/>
    </row>
    <row r="418" spans="2:25" s="156" customFormat="1" ht="17.25" customHeight="1">
      <c r="B418" s="198"/>
      <c r="C418" s="197"/>
      <c r="D418" s="197"/>
      <c r="E418" s="197"/>
      <c r="F418" s="197"/>
    </row>
    <row r="419" spans="2:25">
      <c r="B419" s="199" t="s">
        <v>269</v>
      </c>
      <c r="G419" s="200"/>
      <c r="H419" s="201"/>
      <c r="I419" s="201"/>
      <c r="J419" s="201"/>
    </row>
    <row r="420" spans="2:25">
      <c r="B420" s="199" t="s">
        <v>283</v>
      </c>
      <c r="G420" s="131"/>
      <c r="H420" s="131"/>
      <c r="I420" s="131"/>
      <c r="J420" s="131"/>
      <c r="K420" s="131"/>
      <c r="L420" s="131"/>
      <c r="M420" s="131"/>
      <c r="N420" s="131"/>
      <c r="O420" s="131"/>
      <c r="P420" s="131"/>
      <c r="Q420" s="131"/>
      <c r="R420" s="131"/>
      <c r="S420" s="131"/>
      <c r="T420" s="131"/>
      <c r="U420" s="131"/>
      <c r="V420" s="131"/>
      <c r="W420" s="131"/>
      <c r="X420" s="131"/>
      <c r="Y420" s="131"/>
    </row>
    <row r="421" spans="2:25" s="156" customFormat="1" ht="17.25" customHeight="1">
      <c r="B421" s="198"/>
      <c r="C421" s="197"/>
      <c r="D421" s="197"/>
      <c r="E421" s="197"/>
      <c r="F421" s="197"/>
    </row>
    <row r="422" spans="2:25" s="156" customFormat="1" ht="17.25" customHeight="1">
      <c r="B422" s="198"/>
      <c r="C422" s="197"/>
      <c r="D422" s="197"/>
      <c r="E422" s="197"/>
      <c r="F422" s="197"/>
    </row>
    <row r="423" spans="2:25" s="156" customFormat="1" ht="17.25" customHeight="1">
      <c r="B423" s="198"/>
      <c r="C423" s="197"/>
      <c r="D423" s="197"/>
      <c r="E423" s="197"/>
      <c r="F423" s="197"/>
    </row>
    <row r="424" spans="2:25" s="156" customFormat="1" ht="17.25" customHeight="1">
      <c r="B424" s="198"/>
      <c r="C424" s="197"/>
      <c r="D424" s="197"/>
      <c r="E424" s="197"/>
      <c r="F424" s="197"/>
    </row>
    <row r="425" spans="2:25" s="156" customFormat="1" ht="17.25" customHeight="1">
      <c r="B425" s="198"/>
      <c r="C425" s="197"/>
      <c r="D425" s="197"/>
      <c r="E425" s="197"/>
      <c r="F425" s="197"/>
    </row>
    <row r="426" spans="2:25" s="156" customFormat="1" ht="17.25" customHeight="1">
      <c r="B426" s="198"/>
      <c r="C426" s="197"/>
      <c r="D426" s="197"/>
      <c r="E426" s="197"/>
      <c r="F426" s="197"/>
    </row>
    <row r="427" spans="2:25" s="156" customFormat="1" ht="17.25" customHeight="1">
      <c r="B427" s="198"/>
      <c r="C427" s="197"/>
      <c r="D427" s="197"/>
      <c r="E427" s="197"/>
      <c r="F427" s="197"/>
    </row>
    <row r="428" spans="2:25" s="156" customFormat="1" ht="17.25" customHeight="1">
      <c r="B428" s="198"/>
      <c r="C428" s="197"/>
      <c r="D428" s="197"/>
      <c r="E428" s="197"/>
      <c r="F428" s="197"/>
    </row>
    <row r="429" spans="2:25" s="156" customFormat="1" ht="17.25" customHeight="1">
      <c r="B429" s="198"/>
      <c r="C429" s="197"/>
      <c r="D429" s="197"/>
      <c r="E429" s="197"/>
      <c r="F429" s="197"/>
    </row>
    <row r="430" spans="2:25" s="156" customFormat="1" ht="17.25" customHeight="1">
      <c r="B430" s="198"/>
      <c r="C430" s="197"/>
      <c r="D430" s="197"/>
      <c r="E430" s="197"/>
      <c r="F430" s="197"/>
    </row>
    <row r="431" spans="2:25" s="156" customFormat="1" ht="17.25" customHeight="1">
      <c r="B431" s="198"/>
      <c r="C431" s="197"/>
      <c r="D431" s="197"/>
      <c r="E431" s="197"/>
      <c r="F431" s="197"/>
    </row>
    <row r="432" spans="2:25" s="156" customFormat="1" ht="17.25" customHeight="1">
      <c r="B432" s="198"/>
      <c r="C432" s="197"/>
      <c r="D432" s="197"/>
      <c r="E432" s="197"/>
      <c r="F432" s="197"/>
    </row>
    <row r="433" spans="2:10" s="156" customFormat="1" ht="17.25" customHeight="1">
      <c r="B433" s="198"/>
      <c r="C433" s="197"/>
      <c r="D433" s="197"/>
      <c r="E433" s="197"/>
      <c r="F433" s="197"/>
    </row>
    <row r="434" spans="2:10" s="156" customFormat="1" ht="17.25" customHeight="1">
      <c r="B434" s="198"/>
      <c r="C434" s="197"/>
      <c r="D434" s="197"/>
      <c r="E434" s="197"/>
      <c r="F434" s="197"/>
    </row>
    <row r="435" spans="2:10" ht="20.25" customHeight="1">
      <c r="B435" s="206" t="s">
        <v>295</v>
      </c>
      <c r="H435" s="131"/>
      <c r="I435" s="131"/>
      <c r="J435" s="131"/>
    </row>
    <row r="436" spans="2:10" ht="18" customHeight="1">
      <c r="B436" s="203" t="s">
        <v>8</v>
      </c>
      <c r="C436" s="204" t="s">
        <v>58</v>
      </c>
      <c r="D436" s="204" t="s">
        <v>59</v>
      </c>
      <c r="E436" s="204" t="s">
        <v>60</v>
      </c>
      <c r="F436" s="201"/>
      <c r="H436" s="131"/>
      <c r="I436" s="131"/>
      <c r="J436" s="131"/>
    </row>
    <row r="437" spans="2:10">
      <c r="B437" s="207" t="s">
        <v>296</v>
      </c>
      <c r="C437" s="86"/>
      <c r="D437" s="86">
        <v>363000</v>
      </c>
      <c r="E437" s="37"/>
      <c r="F437" s="110"/>
      <c r="H437" s="131"/>
      <c r="I437" s="131"/>
      <c r="J437" s="131"/>
    </row>
    <row r="438" spans="2:10">
      <c r="B438" s="38" t="s">
        <v>297</v>
      </c>
      <c r="C438" s="37"/>
      <c r="D438" s="37"/>
      <c r="E438" s="37"/>
      <c r="F438" s="110"/>
      <c r="H438" s="131"/>
      <c r="I438" s="131"/>
      <c r="J438" s="131"/>
    </row>
    <row r="439" spans="2:10" ht="18" customHeight="1">
      <c r="B439" s="38" t="s">
        <v>298</v>
      </c>
      <c r="C439" s="37"/>
      <c r="D439" s="37">
        <v>873675.86</v>
      </c>
      <c r="E439" s="37"/>
      <c r="F439" s="36"/>
      <c r="H439" s="131"/>
      <c r="I439" s="131"/>
      <c r="J439" s="131"/>
    </row>
    <row r="440" spans="2:10" ht="18" customHeight="1">
      <c r="B440" s="193" t="s">
        <v>299</v>
      </c>
      <c r="C440" s="86"/>
      <c r="D440" s="86"/>
      <c r="E440" s="39"/>
      <c r="F440" s="36"/>
      <c r="H440" s="131"/>
      <c r="I440" s="131"/>
      <c r="J440" s="131"/>
    </row>
    <row r="441" spans="2:10" s="156" customFormat="1" ht="20.25" customHeight="1" thickBot="1">
      <c r="B441" s="195" t="s">
        <v>166</v>
      </c>
      <c r="C441" s="174">
        <f>SUM(C440:C440)</f>
        <v>0</v>
      </c>
      <c r="D441" s="174">
        <f>SUM(D437:D440)</f>
        <v>1236675.8599999999</v>
      </c>
      <c r="E441" s="174"/>
      <c r="F441" s="197"/>
    </row>
    <row r="442" spans="2:10" s="156" customFormat="1" ht="20.25" customHeight="1" thickTop="1">
      <c r="B442" s="198"/>
      <c r="C442" s="197"/>
      <c r="D442" s="197"/>
      <c r="E442" s="197"/>
      <c r="F442" s="197"/>
    </row>
    <row r="443" spans="2:10" ht="20.25" customHeight="1">
      <c r="B443" s="206" t="s">
        <v>278</v>
      </c>
      <c r="H443" s="131"/>
      <c r="I443" s="131"/>
      <c r="J443" s="131"/>
    </row>
    <row r="444" spans="2:10" ht="18" customHeight="1">
      <c r="B444" s="203" t="s">
        <v>8</v>
      </c>
      <c r="C444" s="204" t="s">
        <v>58</v>
      </c>
      <c r="D444" s="204" t="s">
        <v>59</v>
      </c>
      <c r="E444" s="204" t="s">
        <v>60</v>
      </c>
      <c r="F444" s="201"/>
      <c r="H444" s="131"/>
      <c r="I444" s="131"/>
      <c r="J444" s="131"/>
    </row>
    <row r="445" spans="2:10">
      <c r="B445" s="207" t="s">
        <v>163</v>
      </c>
      <c r="C445" s="37">
        <v>0</v>
      </c>
      <c r="D445" s="37">
        <v>5000</v>
      </c>
      <c r="E445" s="37"/>
      <c r="F445" s="110"/>
      <c r="H445" s="131"/>
      <c r="I445" s="131"/>
      <c r="J445" s="131"/>
    </row>
    <row r="446" spans="2:10">
      <c r="B446" s="207" t="s">
        <v>164</v>
      </c>
      <c r="C446" s="37">
        <v>0</v>
      </c>
      <c r="D446" s="37">
        <v>28000</v>
      </c>
      <c r="E446" s="37"/>
      <c r="F446" s="110"/>
      <c r="H446" s="131"/>
      <c r="I446" s="131"/>
      <c r="J446" s="131"/>
    </row>
    <row r="447" spans="2:10" ht="18" customHeight="1">
      <c r="B447" s="207" t="s">
        <v>182</v>
      </c>
      <c r="C447" s="37">
        <v>0</v>
      </c>
      <c r="D447" s="37">
        <v>20000</v>
      </c>
      <c r="E447" s="37"/>
      <c r="F447" s="36"/>
      <c r="H447" s="131"/>
      <c r="I447" s="131"/>
      <c r="J447" s="131"/>
    </row>
    <row r="448" spans="2:10" ht="18" customHeight="1">
      <c r="B448" s="207" t="s">
        <v>200</v>
      </c>
      <c r="C448" s="37">
        <v>0</v>
      </c>
      <c r="D448" s="37">
        <v>133831.48000000001</v>
      </c>
      <c r="E448" s="37"/>
      <c r="F448" s="36"/>
      <c r="H448" s="131"/>
      <c r="I448" s="131"/>
      <c r="J448" s="131"/>
    </row>
    <row r="449" spans="2:10">
      <c r="B449" s="207" t="s">
        <v>201</v>
      </c>
      <c r="C449" s="37"/>
      <c r="D449" s="37">
        <v>98000</v>
      </c>
      <c r="E449" s="37"/>
      <c r="F449" s="110"/>
      <c r="H449" s="208"/>
      <c r="I449" s="131"/>
      <c r="J449" s="131"/>
    </row>
    <row r="450" spans="2:10" ht="18" customHeight="1">
      <c r="B450" s="207" t="s">
        <v>202</v>
      </c>
      <c r="C450" s="37"/>
      <c r="D450" s="37">
        <v>277000</v>
      </c>
      <c r="E450" s="37"/>
      <c r="F450" s="36"/>
      <c r="H450" s="131"/>
      <c r="I450" s="131"/>
      <c r="J450" s="131"/>
    </row>
    <row r="451" spans="2:10" ht="18" customHeight="1">
      <c r="B451" s="207" t="s">
        <v>203</v>
      </c>
      <c r="C451" s="37"/>
      <c r="D451" s="37">
        <v>198000</v>
      </c>
      <c r="E451" s="39"/>
      <c r="F451" s="36"/>
      <c r="H451" s="131"/>
      <c r="I451" s="131"/>
      <c r="J451" s="131"/>
    </row>
    <row r="452" spans="2:10" ht="18" customHeight="1">
      <c r="B452" s="207" t="s">
        <v>204</v>
      </c>
      <c r="C452" s="86"/>
      <c r="D452" s="86">
        <v>228000</v>
      </c>
      <c r="E452" s="39"/>
      <c r="F452" s="36"/>
      <c r="H452" s="131"/>
      <c r="I452" s="131"/>
      <c r="J452" s="131"/>
    </row>
    <row r="453" spans="2:10" ht="18" customHeight="1">
      <c r="B453" s="207" t="s">
        <v>205</v>
      </c>
      <c r="C453" s="37"/>
      <c r="D453" s="37">
        <v>199000</v>
      </c>
      <c r="E453" s="39"/>
      <c r="F453" s="36"/>
      <c r="H453" s="131"/>
      <c r="I453" s="131"/>
      <c r="J453" s="131"/>
    </row>
    <row r="454" spans="2:10" ht="18" customHeight="1">
      <c r="B454" s="38" t="s">
        <v>236</v>
      </c>
      <c r="C454" s="86"/>
      <c r="D454" s="37">
        <v>166000</v>
      </c>
      <c r="E454" s="39"/>
      <c r="F454" s="36"/>
      <c r="H454" s="131"/>
      <c r="I454" s="131"/>
      <c r="J454" s="131"/>
    </row>
    <row r="455" spans="2:10" ht="18" customHeight="1">
      <c r="B455" s="38" t="s">
        <v>237</v>
      </c>
      <c r="C455" s="37"/>
      <c r="D455" s="37">
        <v>445000</v>
      </c>
      <c r="E455" s="39"/>
      <c r="F455" s="36"/>
      <c r="H455" s="131"/>
      <c r="I455" s="131"/>
      <c r="J455" s="131"/>
    </row>
    <row r="456" spans="2:10" ht="18" customHeight="1">
      <c r="B456" s="38" t="s">
        <v>238</v>
      </c>
      <c r="C456" s="37"/>
      <c r="D456" s="37">
        <v>39000</v>
      </c>
      <c r="E456" s="39"/>
      <c r="F456" s="36"/>
      <c r="H456" s="131"/>
      <c r="I456" s="131"/>
      <c r="J456" s="131"/>
    </row>
    <row r="457" spans="2:10" ht="18" customHeight="1">
      <c r="B457" s="38" t="s">
        <v>272</v>
      </c>
      <c r="C457" s="86"/>
      <c r="D457" s="86">
        <v>521617</v>
      </c>
      <c r="E457" s="39"/>
      <c r="F457" s="36"/>
      <c r="H457" s="131"/>
      <c r="I457" s="131"/>
      <c r="J457" s="131"/>
    </row>
    <row r="458" spans="2:10" ht="18" customHeight="1">
      <c r="B458" s="38" t="s">
        <v>271</v>
      </c>
      <c r="C458" s="37"/>
      <c r="D458" s="37"/>
      <c r="E458" s="39"/>
      <c r="F458" s="36"/>
      <c r="H458" s="131"/>
      <c r="I458" s="131"/>
      <c r="J458" s="131"/>
    </row>
    <row r="459" spans="2:10">
      <c r="B459" s="207" t="s">
        <v>296</v>
      </c>
      <c r="C459" s="86"/>
      <c r="D459" s="86">
        <v>363000</v>
      </c>
      <c r="E459" s="37"/>
      <c r="F459" s="110"/>
      <c r="H459" s="131"/>
      <c r="I459" s="131"/>
      <c r="J459" s="131"/>
    </row>
    <row r="460" spans="2:10">
      <c r="B460" s="38" t="s">
        <v>297</v>
      </c>
      <c r="C460" s="37"/>
      <c r="D460" s="37"/>
      <c r="E460" s="37"/>
      <c r="F460" s="110"/>
      <c r="H460" s="131"/>
      <c r="I460" s="131"/>
      <c r="J460" s="131"/>
    </row>
    <row r="461" spans="2:10" ht="18" customHeight="1">
      <c r="B461" s="38" t="s">
        <v>298</v>
      </c>
      <c r="C461" s="37"/>
      <c r="D461" s="37">
        <v>873675.86</v>
      </c>
      <c r="E461" s="37"/>
      <c r="F461" s="36"/>
      <c r="H461" s="131"/>
      <c r="I461" s="131"/>
      <c r="J461" s="131"/>
    </row>
    <row r="462" spans="2:10" ht="18" customHeight="1">
      <c r="B462" s="38" t="s">
        <v>299</v>
      </c>
      <c r="C462" s="86"/>
      <c r="D462" s="86"/>
      <c r="E462" s="39"/>
      <c r="F462" s="36"/>
      <c r="H462" s="131"/>
      <c r="I462" s="131"/>
      <c r="J462" s="131"/>
    </row>
    <row r="463" spans="2:10" ht="18" customHeight="1">
      <c r="B463" s="276"/>
      <c r="C463" s="86"/>
      <c r="D463" s="86"/>
      <c r="E463" s="39"/>
      <c r="F463" s="36"/>
      <c r="H463" s="131"/>
      <c r="I463" s="131"/>
      <c r="J463" s="131"/>
    </row>
    <row r="464" spans="2:10" s="156" customFormat="1" ht="20.25" customHeight="1" thickBot="1">
      <c r="B464" s="195" t="s">
        <v>166</v>
      </c>
      <c r="C464" s="174">
        <f>SUM(C463:C463)</f>
        <v>0</v>
      </c>
      <c r="D464" s="174">
        <f>SUM(D445:D462)</f>
        <v>3595124.34</v>
      </c>
      <c r="E464" s="174"/>
      <c r="F464" s="197"/>
    </row>
    <row r="465" spans="2:25" ht="18" thickTop="1"/>
    <row r="467" spans="2:25">
      <c r="B467" s="199" t="s">
        <v>269</v>
      </c>
      <c r="G467" s="200"/>
      <c r="H467" s="201"/>
      <c r="I467" s="201"/>
      <c r="J467" s="201"/>
    </row>
    <row r="468" spans="2:25">
      <c r="B468" s="199" t="s">
        <v>283</v>
      </c>
      <c r="G468" s="131"/>
      <c r="H468" s="131"/>
      <c r="I468" s="131"/>
      <c r="J468" s="131"/>
      <c r="K468" s="131"/>
      <c r="L468" s="131"/>
      <c r="M468" s="131"/>
      <c r="N468" s="131"/>
      <c r="O468" s="131"/>
      <c r="P468" s="131"/>
      <c r="Q468" s="131"/>
      <c r="R468" s="131"/>
      <c r="S468" s="131"/>
      <c r="T468" s="131"/>
      <c r="U468" s="131"/>
      <c r="V468" s="131"/>
      <c r="W468" s="131"/>
      <c r="X468" s="131"/>
      <c r="Y468" s="131"/>
    </row>
    <row r="469" spans="2:25">
      <c r="B469" s="199"/>
      <c r="G469" s="131"/>
      <c r="H469" s="131"/>
      <c r="I469" s="131"/>
      <c r="J469" s="131"/>
      <c r="K469" s="131"/>
      <c r="L469" s="131"/>
      <c r="M469" s="131"/>
      <c r="N469" s="131"/>
      <c r="O469" s="131"/>
      <c r="P469" s="131"/>
      <c r="Q469" s="131"/>
      <c r="R469" s="131"/>
      <c r="S469" s="131"/>
      <c r="T469" s="131"/>
      <c r="U469" s="131"/>
      <c r="V469" s="131"/>
      <c r="W469" s="131"/>
      <c r="X469" s="131"/>
      <c r="Y469" s="131"/>
    </row>
    <row r="470" spans="2:25">
      <c r="B470" s="199"/>
      <c r="G470" s="131"/>
      <c r="H470" s="131"/>
      <c r="I470" s="131"/>
      <c r="J470" s="131"/>
      <c r="K470" s="131"/>
      <c r="L470" s="131"/>
      <c r="M470" s="131"/>
      <c r="N470" s="131"/>
      <c r="O470" s="131"/>
      <c r="P470" s="131"/>
      <c r="Q470" s="131"/>
      <c r="R470" s="131"/>
      <c r="S470" s="131"/>
      <c r="T470" s="131"/>
      <c r="U470" s="131"/>
      <c r="V470" s="131"/>
      <c r="W470" s="131"/>
      <c r="X470" s="131"/>
      <c r="Y470" s="131"/>
    </row>
    <row r="471" spans="2:25">
      <c r="B471" s="199"/>
      <c r="G471" s="131"/>
      <c r="H471" s="131"/>
      <c r="I471" s="131"/>
      <c r="J471" s="131"/>
      <c r="K471" s="131"/>
      <c r="L471" s="131"/>
      <c r="M471" s="131"/>
      <c r="N471" s="131"/>
      <c r="O471" s="131"/>
      <c r="P471" s="131"/>
      <c r="Q471" s="131"/>
      <c r="R471" s="131"/>
      <c r="S471" s="131"/>
      <c r="T471" s="131"/>
      <c r="U471" s="131"/>
      <c r="V471" s="131"/>
      <c r="W471" s="131"/>
      <c r="X471" s="131"/>
      <c r="Y471" s="131"/>
    </row>
    <row r="472" spans="2:25">
      <c r="B472" s="199"/>
      <c r="G472" s="131"/>
      <c r="H472" s="131"/>
      <c r="I472" s="131"/>
      <c r="J472" s="131"/>
      <c r="K472" s="131"/>
      <c r="L472" s="131"/>
      <c r="M472" s="131"/>
      <c r="N472" s="131"/>
      <c r="O472" s="131"/>
      <c r="P472" s="131"/>
      <c r="Q472" s="131"/>
      <c r="R472" s="131"/>
      <c r="S472" s="131"/>
      <c r="T472" s="131"/>
      <c r="U472" s="131"/>
      <c r="V472" s="131"/>
      <c r="W472" s="131"/>
      <c r="X472" s="131"/>
      <c r="Y472" s="131"/>
    </row>
    <row r="473" spans="2:25">
      <c r="B473" s="199"/>
      <c r="G473" s="131"/>
      <c r="H473" s="131"/>
      <c r="I473" s="131"/>
      <c r="J473" s="131"/>
      <c r="K473" s="131"/>
      <c r="L473" s="131"/>
      <c r="M473" s="131"/>
      <c r="N473" s="131"/>
      <c r="O473" s="131"/>
      <c r="P473" s="131"/>
      <c r="Q473" s="131"/>
      <c r="R473" s="131"/>
      <c r="S473" s="131"/>
      <c r="T473" s="131"/>
      <c r="U473" s="131"/>
      <c r="V473" s="131"/>
      <c r="W473" s="131"/>
      <c r="X473" s="131"/>
      <c r="Y473" s="131"/>
    </row>
    <row r="474" spans="2:25">
      <c r="B474" s="199"/>
      <c r="G474" s="131"/>
      <c r="H474" s="131"/>
      <c r="I474" s="131"/>
      <c r="J474" s="131"/>
      <c r="K474" s="131"/>
      <c r="L474" s="131"/>
      <c r="M474" s="131"/>
      <c r="N474" s="131"/>
      <c r="O474" s="131"/>
      <c r="P474" s="131"/>
      <c r="Q474" s="131"/>
      <c r="R474" s="131"/>
      <c r="S474" s="131"/>
      <c r="T474" s="131"/>
      <c r="U474" s="131"/>
      <c r="V474" s="131"/>
      <c r="W474" s="131"/>
      <c r="X474" s="131"/>
      <c r="Y474" s="131"/>
    </row>
    <row r="475" spans="2:25">
      <c r="B475" s="199"/>
      <c r="G475" s="131"/>
      <c r="H475" s="131"/>
      <c r="I475" s="131"/>
      <c r="J475" s="131"/>
      <c r="K475" s="131"/>
      <c r="L475" s="131"/>
      <c r="M475" s="131"/>
      <c r="N475" s="131"/>
      <c r="O475" s="131"/>
      <c r="P475" s="131"/>
      <c r="Q475" s="131"/>
      <c r="R475" s="131"/>
      <c r="S475" s="131"/>
      <c r="T475" s="131"/>
      <c r="U475" s="131"/>
      <c r="V475" s="131"/>
      <c r="W475" s="131"/>
      <c r="X475" s="131"/>
      <c r="Y475" s="131"/>
    </row>
    <row r="476" spans="2:25">
      <c r="B476" s="199"/>
      <c r="G476" s="131"/>
      <c r="H476" s="131"/>
      <c r="I476" s="131"/>
      <c r="J476" s="131"/>
      <c r="K476" s="131"/>
      <c r="L476" s="131"/>
      <c r="M476" s="131"/>
      <c r="N476" s="131"/>
      <c r="O476" s="131"/>
      <c r="P476" s="131"/>
      <c r="Q476" s="131"/>
      <c r="R476" s="131"/>
      <c r="S476" s="131"/>
      <c r="T476" s="131"/>
      <c r="U476" s="131"/>
      <c r="V476" s="131"/>
      <c r="W476" s="131"/>
      <c r="X476" s="131"/>
      <c r="Y476" s="131"/>
    </row>
    <row r="477" spans="2:25">
      <c r="B477" s="199"/>
      <c r="G477" s="131"/>
      <c r="H477" s="131"/>
      <c r="I477" s="131"/>
      <c r="J477" s="131"/>
      <c r="K477" s="131"/>
      <c r="L477" s="131"/>
      <c r="M477" s="131"/>
      <c r="N477" s="131"/>
      <c r="O477" s="131"/>
      <c r="P477" s="131"/>
      <c r="Q477" s="131"/>
      <c r="R477" s="131"/>
      <c r="S477" s="131"/>
      <c r="T477" s="131"/>
      <c r="U477" s="131"/>
      <c r="V477" s="131"/>
      <c r="W477" s="131"/>
      <c r="X477" s="131"/>
      <c r="Y477" s="131"/>
    </row>
    <row r="478" spans="2:25">
      <c r="B478" s="199"/>
      <c r="G478" s="131"/>
      <c r="H478" s="131"/>
      <c r="I478" s="131"/>
      <c r="J478" s="131"/>
      <c r="K478" s="131"/>
      <c r="L478" s="131"/>
      <c r="M478" s="131"/>
      <c r="N478" s="131"/>
      <c r="O478" s="131"/>
      <c r="P478" s="131"/>
      <c r="Q478" s="131"/>
      <c r="R478" s="131"/>
      <c r="S478" s="131"/>
      <c r="T478" s="131"/>
      <c r="U478" s="131"/>
      <c r="V478" s="131"/>
      <c r="W478" s="131"/>
      <c r="X478" s="131"/>
      <c r="Y478" s="131"/>
    </row>
    <row r="479" spans="2:25">
      <c r="B479" s="199"/>
      <c r="G479" s="131"/>
      <c r="H479" s="131"/>
      <c r="I479" s="131"/>
      <c r="J479" s="131"/>
      <c r="K479" s="131"/>
      <c r="L479" s="131"/>
      <c r="M479" s="131"/>
      <c r="N479" s="131"/>
      <c r="O479" s="131"/>
      <c r="P479" s="131"/>
      <c r="Q479" s="131"/>
      <c r="R479" s="131"/>
      <c r="S479" s="131"/>
      <c r="T479" s="131"/>
      <c r="U479" s="131"/>
      <c r="V479" s="131"/>
      <c r="W479" s="131"/>
      <c r="X479" s="131"/>
      <c r="Y479" s="131"/>
    </row>
    <row r="480" spans="2:25">
      <c r="B480" s="199"/>
      <c r="G480" s="131"/>
      <c r="H480" s="131"/>
      <c r="I480" s="131"/>
      <c r="J480" s="131"/>
      <c r="K480" s="131"/>
      <c r="L480" s="131"/>
      <c r="M480" s="131"/>
      <c r="N480" s="131"/>
      <c r="O480" s="131"/>
      <c r="P480" s="131"/>
      <c r="Q480" s="131"/>
      <c r="R480" s="131"/>
      <c r="S480" s="131"/>
      <c r="T480" s="131"/>
      <c r="U480" s="131"/>
      <c r="V480" s="131"/>
      <c r="W480" s="131"/>
      <c r="X480" s="131"/>
      <c r="Y480" s="131"/>
    </row>
    <row r="481" spans="2:25">
      <c r="B481" s="199"/>
      <c r="G481" s="131"/>
      <c r="H481" s="131"/>
      <c r="I481" s="131"/>
      <c r="J481" s="131"/>
      <c r="K481" s="131"/>
      <c r="L481" s="131"/>
      <c r="M481" s="131"/>
      <c r="N481" s="131"/>
      <c r="O481" s="131"/>
      <c r="P481" s="131"/>
      <c r="Q481" s="131"/>
      <c r="R481" s="131"/>
      <c r="S481" s="131"/>
      <c r="T481" s="131"/>
      <c r="U481" s="131"/>
      <c r="V481" s="131"/>
      <c r="W481" s="131"/>
      <c r="X481" s="131"/>
      <c r="Y481" s="131"/>
    </row>
    <row r="483" spans="2:25" ht="18" customHeight="1">
      <c r="B483" s="206" t="s">
        <v>304</v>
      </c>
    </row>
    <row r="484" spans="2:25" ht="18" customHeight="1">
      <c r="B484" s="203" t="s">
        <v>8</v>
      </c>
      <c r="C484" s="204" t="s">
        <v>58</v>
      </c>
      <c r="D484" s="204" t="s">
        <v>59</v>
      </c>
      <c r="E484" s="204" t="s">
        <v>60</v>
      </c>
      <c r="F484" s="201"/>
    </row>
    <row r="485" spans="2:25" ht="18" customHeight="1">
      <c r="B485" s="188" t="s">
        <v>61</v>
      </c>
      <c r="C485" s="209">
        <v>12917.27</v>
      </c>
      <c r="D485" s="209">
        <v>2079.17</v>
      </c>
      <c r="E485" s="189"/>
      <c r="F485" s="36"/>
    </row>
    <row r="486" spans="2:25" ht="18" customHeight="1">
      <c r="B486" s="191" t="s">
        <v>62</v>
      </c>
      <c r="C486" s="269">
        <v>0</v>
      </c>
      <c r="D486" s="37">
        <v>22700</v>
      </c>
      <c r="E486" s="37"/>
      <c r="F486" s="210"/>
    </row>
    <row r="487" spans="2:25" ht="18" customHeight="1">
      <c r="B487" s="191" t="s">
        <v>153</v>
      </c>
      <c r="C487" s="37">
        <v>0</v>
      </c>
      <c r="D487" s="37">
        <v>0</v>
      </c>
      <c r="E487" s="37"/>
      <c r="F487" s="36"/>
    </row>
    <row r="488" spans="2:25" ht="18" customHeight="1">
      <c r="B488" s="191" t="s">
        <v>155</v>
      </c>
      <c r="C488" s="37">
        <v>18.96</v>
      </c>
      <c r="D488" s="37">
        <v>0</v>
      </c>
      <c r="E488" s="37"/>
      <c r="F488" s="36"/>
    </row>
    <row r="489" spans="2:25" ht="18" customHeight="1">
      <c r="B489" s="191" t="s">
        <v>156</v>
      </c>
      <c r="C489" s="37">
        <v>10686</v>
      </c>
      <c r="D489" s="37">
        <v>10686</v>
      </c>
      <c r="E489" s="37"/>
      <c r="F489" s="210"/>
    </row>
    <row r="490" spans="2:25" ht="18" customHeight="1">
      <c r="B490" s="191" t="s">
        <v>70</v>
      </c>
      <c r="C490" s="37">
        <v>0</v>
      </c>
      <c r="D490" s="37">
        <v>0</v>
      </c>
      <c r="E490" s="37"/>
      <c r="F490" s="211"/>
      <c r="G490" s="212"/>
    </row>
    <row r="491" spans="2:25" ht="18" customHeight="1">
      <c r="B491" s="191" t="s">
        <v>157</v>
      </c>
      <c r="C491" s="37">
        <v>0</v>
      </c>
      <c r="D491" s="37">
        <v>0</v>
      </c>
      <c r="E491" s="37"/>
      <c r="F491" s="36"/>
    </row>
    <row r="492" spans="2:25" ht="18" customHeight="1">
      <c r="B492" s="191" t="s">
        <v>150</v>
      </c>
      <c r="C492" s="37">
        <v>0</v>
      </c>
      <c r="D492" s="37">
        <v>0</v>
      </c>
      <c r="E492" s="37"/>
      <c r="F492" s="36"/>
    </row>
    <row r="493" spans="2:25" ht="18" customHeight="1">
      <c r="B493" s="192"/>
      <c r="C493" s="37"/>
      <c r="D493" s="86"/>
      <c r="E493" s="37"/>
      <c r="F493" s="36"/>
    </row>
    <row r="494" spans="2:25" ht="18" customHeight="1">
      <c r="B494" s="193"/>
      <c r="C494" s="86"/>
      <c r="D494" s="86"/>
      <c r="E494" s="39"/>
      <c r="F494" s="36"/>
    </row>
    <row r="495" spans="2:25" s="156" customFormat="1" ht="18" customHeight="1" thickBot="1">
      <c r="B495" s="195" t="s">
        <v>27</v>
      </c>
      <c r="C495" s="174">
        <f>SUM(C485:C493)</f>
        <v>23622.23</v>
      </c>
      <c r="D495" s="174">
        <f>SUM(D485:D493)</f>
        <v>35465.17</v>
      </c>
      <c r="E495" s="174"/>
      <c r="F495" s="197"/>
    </row>
    <row r="496" spans="2:25" s="156" customFormat="1" ht="18" customHeight="1" thickTop="1">
      <c r="B496" s="198"/>
      <c r="C496" s="197"/>
      <c r="D496" s="197"/>
      <c r="E496" s="197"/>
      <c r="F496" s="197"/>
    </row>
    <row r="497" spans="2:10" ht="18" customHeight="1">
      <c r="B497" s="206" t="s">
        <v>305</v>
      </c>
    </row>
    <row r="498" spans="2:10" ht="18" customHeight="1">
      <c r="B498" s="203" t="s">
        <v>8</v>
      </c>
      <c r="C498" s="204" t="s">
        <v>58</v>
      </c>
      <c r="D498" s="204" t="s">
        <v>59</v>
      </c>
      <c r="E498" s="204" t="s">
        <v>60</v>
      </c>
      <c r="F498" s="201"/>
    </row>
    <row r="499" spans="2:10" ht="18" customHeight="1">
      <c r="B499" s="188" t="s">
        <v>61</v>
      </c>
      <c r="C499" s="209">
        <f>9751.5+7286.73+2079.17+12917.27</f>
        <v>32034.670000000002</v>
      </c>
      <c r="D499" s="209">
        <f>3678.26+9751.5+7286.73+2079.17</f>
        <v>22795.659999999996</v>
      </c>
      <c r="E499" s="189"/>
      <c r="F499" s="36"/>
    </row>
    <row r="500" spans="2:10" ht="18" customHeight="1">
      <c r="B500" s="191" t="s">
        <v>62</v>
      </c>
      <c r="C500" s="37">
        <f>24400</f>
        <v>24400</v>
      </c>
      <c r="D500" s="37">
        <f>42255+1600+22700</f>
        <v>66555</v>
      </c>
      <c r="E500" s="37"/>
      <c r="F500" s="210"/>
    </row>
    <row r="501" spans="2:10" ht="18" customHeight="1">
      <c r="B501" s="191" t="s">
        <v>153</v>
      </c>
      <c r="C501" s="37">
        <v>0</v>
      </c>
      <c r="D501" s="37">
        <v>0</v>
      </c>
      <c r="E501" s="37"/>
      <c r="F501" s="36"/>
    </row>
    <row r="502" spans="2:10" ht="18" customHeight="1">
      <c r="B502" s="191" t="s">
        <v>155</v>
      </c>
      <c r="C502" s="37">
        <f>31.74+18.96</f>
        <v>50.7</v>
      </c>
      <c r="D502" s="37">
        <v>5022.12</v>
      </c>
      <c r="E502" s="37"/>
      <c r="F502" s="36"/>
    </row>
    <row r="503" spans="2:10" ht="18" customHeight="1">
      <c r="B503" s="191" t="s">
        <v>156</v>
      </c>
      <c r="C503" s="37">
        <f>11511+11850+11624+10686</f>
        <v>45671</v>
      </c>
      <c r="D503" s="37">
        <f>11511+11850+11624+10686</f>
        <v>45671</v>
      </c>
      <c r="E503" s="37"/>
      <c r="F503" s="210"/>
    </row>
    <row r="504" spans="2:10" ht="18" customHeight="1">
      <c r="B504" s="191" t="s">
        <v>70</v>
      </c>
      <c r="C504" s="37">
        <v>0</v>
      </c>
      <c r="D504" s="37">
        <v>0</v>
      </c>
      <c r="E504" s="37"/>
      <c r="F504" s="211"/>
      <c r="G504" s="212"/>
    </row>
    <row r="505" spans="2:10" ht="18" customHeight="1">
      <c r="B505" s="191" t="s">
        <v>157</v>
      </c>
      <c r="C505" s="37">
        <v>80</v>
      </c>
      <c r="D505" s="37">
        <v>80</v>
      </c>
      <c r="E505" s="37"/>
      <c r="F505" s="36"/>
    </row>
    <row r="506" spans="2:10" ht="18" customHeight="1">
      <c r="B506" s="191" t="s">
        <v>150</v>
      </c>
      <c r="C506" s="37">
        <v>0</v>
      </c>
      <c r="D506" s="37">
        <v>0</v>
      </c>
      <c r="E506" s="37"/>
      <c r="F506" s="36"/>
    </row>
    <row r="507" spans="2:10" ht="18" customHeight="1">
      <c r="B507" s="192"/>
      <c r="C507" s="37"/>
      <c r="D507" s="86"/>
      <c r="E507" s="37"/>
      <c r="F507" s="36"/>
    </row>
    <row r="508" spans="2:10" ht="18" customHeight="1">
      <c r="B508" s="193"/>
      <c r="C508" s="86"/>
      <c r="D508" s="86"/>
      <c r="E508" s="39"/>
      <c r="F508" s="36"/>
    </row>
    <row r="509" spans="2:10" s="156" customFormat="1" ht="18" customHeight="1" thickBot="1">
      <c r="B509" s="195" t="s">
        <v>27</v>
      </c>
      <c r="C509" s="174">
        <f>SUM(C499:C507)</f>
        <v>102236.37</v>
      </c>
      <c r="D509" s="174">
        <f>SUM(D499:D507)</f>
        <v>140123.78</v>
      </c>
      <c r="E509" s="174"/>
      <c r="F509" s="197"/>
    </row>
    <row r="510" spans="2:10" ht="18" thickTop="1"/>
    <row r="512" spans="2:10">
      <c r="B512" s="199" t="s">
        <v>281</v>
      </c>
      <c r="G512" s="200"/>
      <c r="H512" s="201"/>
      <c r="I512" s="201"/>
      <c r="J512" s="201"/>
    </row>
    <row r="513" spans="2:25">
      <c r="B513" s="199" t="s">
        <v>282</v>
      </c>
      <c r="G513" s="131"/>
      <c r="H513" s="131"/>
      <c r="I513" s="131"/>
      <c r="J513" s="131"/>
      <c r="K513" s="131"/>
      <c r="L513" s="131"/>
      <c r="M513" s="131"/>
      <c r="N513" s="131"/>
      <c r="O513" s="131"/>
      <c r="P513" s="131"/>
      <c r="Q513" s="131"/>
      <c r="R513" s="131"/>
      <c r="S513" s="131"/>
      <c r="T513" s="131"/>
      <c r="U513" s="131"/>
      <c r="V513" s="131"/>
      <c r="W513" s="131"/>
      <c r="X513" s="131"/>
      <c r="Y513" s="131"/>
    </row>
    <row r="514" spans="2:25">
      <c r="B514" s="199"/>
      <c r="G514" s="131"/>
      <c r="H514" s="131"/>
      <c r="I514" s="131"/>
      <c r="J514" s="131"/>
      <c r="K514" s="131"/>
      <c r="L514" s="131"/>
      <c r="M514" s="131"/>
      <c r="N514" s="131"/>
      <c r="O514" s="131"/>
      <c r="P514" s="131"/>
      <c r="Q514" s="131"/>
      <c r="R514" s="131"/>
      <c r="S514" s="131"/>
      <c r="T514" s="131"/>
      <c r="U514" s="131"/>
      <c r="V514" s="131"/>
      <c r="W514" s="131"/>
      <c r="X514" s="131"/>
      <c r="Y514" s="131"/>
    </row>
    <row r="515" spans="2:25">
      <c r="B515" s="199"/>
      <c r="G515" s="131"/>
      <c r="H515" s="131"/>
      <c r="I515" s="131"/>
      <c r="J515" s="131"/>
      <c r="K515" s="131"/>
      <c r="L515" s="131"/>
      <c r="M515" s="131"/>
      <c r="N515" s="131"/>
      <c r="O515" s="131"/>
      <c r="P515" s="131"/>
      <c r="Q515" s="131"/>
      <c r="R515" s="131"/>
      <c r="S515" s="131"/>
      <c r="T515" s="131"/>
      <c r="U515" s="131"/>
      <c r="V515" s="131"/>
      <c r="W515" s="131"/>
      <c r="X515" s="131"/>
      <c r="Y515" s="131"/>
    </row>
    <row r="516" spans="2:25">
      <c r="B516" s="199"/>
      <c r="G516" s="131"/>
      <c r="H516" s="131"/>
      <c r="I516" s="131"/>
      <c r="J516" s="131"/>
      <c r="K516" s="131"/>
      <c r="L516" s="131"/>
      <c r="M516" s="131"/>
      <c r="N516" s="131"/>
      <c r="O516" s="131"/>
      <c r="P516" s="131"/>
      <c r="Q516" s="131"/>
      <c r="R516" s="131"/>
      <c r="S516" s="131"/>
      <c r="T516" s="131"/>
      <c r="U516" s="131"/>
      <c r="V516" s="131"/>
      <c r="W516" s="131"/>
      <c r="X516" s="131"/>
      <c r="Y516" s="131"/>
    </row>
    <row r="517" spans="2:25">
      <c r="B517" s="199"/>
      <c r="G517" s="131"/>
      <c r="H517" s="131"/>
      <c r="I517" s="131"/>
      <c r="J517" s="131"/>
      <c r="K517" s="131"/>
      <c r="L517" s="131"/>
      <c r="M517" s="131"/>
      <c r="N517" s="131"/>
      <c r="O517" s="131"/>
      <c r="P517" s="131"/>
      <c r="Q517" s="131"/>
      <c r="R517" s="131"/>
      <c r="S517" s="131"/>
      <c r="T517" s="131"/>
      <c r="U517" s="131"/>
      <c r="V517" s="131"/>
      <c r="W517" s="131"/>
      <c r="X517" s="131"/>
      <c r="Y517" s="131"/>
    </row>
    <row r="518" spans="2:25">
      <c r="B518" s="199"/>
      <c r="G518" s="131"/>
      <c r="H518" s="131"/>
      <c r="I518" s="131"/>
      <c r="J518" s="131"/>
      <c r="K518" s="131"/>
      <c r="L518" s="131"/>
      <c r="M518" s="131"/>
      <c r="N518" s="131"/>
      <c r="O518" s="131"/>
      <c r="P518" s="131"/>
      <c r="Q518" s="131"/>
      <c r="R518" s="131"/>
      <c r="S518" s="131"/>
      <c r="T518" s="131"/>
      <c r="U518" s="131"/>
      <c r="V518" s="131"/>
      <c r="W518" s="131"/>
      <c r="X518" s="131"/>
      <c r="Y518" s="131"/>
    </row>
    <row r="519" spans="2:25">
      <c r="B519" s="199"/>
      <c r="G519" s="131"/>
      <c r="H519" s="131"/>
      <c r="I519" s="131"/>
      <c r="J519" s="131"/>
      <c r="K519" s="131"/>
      <c r="L519" s="131"/>
      <c r="M519" s="131"/>
      <c r="N519" s="131"/>
      <c r="O519" s="131"/>
      <c r="P519" s="131"/>
      <c r="Q519" s="131"/>
      <c r="R519" s="131"/>
      <c r="S519" s="131"/>
      <c r="T519" s="131"/>
      <c r="U519" s="131"/>
      <c r="V519" s="131"/>
      <c r="W519" s="131"/>
      <c r="X519" s="131"/>
      <c r="Y519" s="131"/>
    </row>
    <row r="520" spans="2:25">
      <c r="B520" s="199"/>
      <c r="G520" s="131"/>
      <c r="H520" s="131"/>
      <c r="I520" s="131"/>
      <c r="J520" s="131"/>
      <c r="K520" s="131"/>
      <c r="L520" s="131"/>
      <c r="M520" s="131"/>
      <c r="N520" s="131"/>
      <c r="O520" s="131"/>
      <c r="P520" s="131"/>
      <c r="Q520" s="131"/>
      <c r="R520" s="131"/>
      <c r="S520" s="131"/>
      <c r="T520" s="131"/>
      <c r="U520" s="131"/>
      <c r="V520" s="131"/>
      <c r="W520" s="131"/>
      <c r="X520" s="131"/>
      <c r="Y520" s="131"/>
    </row>
    <row r="521" spans="2:25">
      <c r="B521" s="199"/>
      <c r="G521" s="131"/>
      <c r="H521" s="131"/>
      <c r="I521" s="131"/>
      <c r="J521" s="131"/>
      <c r="K521" s="131"/>
      <c r="L521" s="131"/>
      <c r="M521" s="131"/>
      <c r="N521" s="131"/>
      <c r="O521" s="131"/>
      <c r="P521" s="131"/>
      <c r="Q521" s="131"/>
      <c r="R521" s="131"/>
      <c r="S521" s="131"/>
      <c r="T521" s="131"/>
      <c r="U521" s="131"/>
      <c r="V521" s="131"/>
      <c r="W521" s="131"/>
      <c r="X521" s="131"/>
      <c r="Y521" s="131"/>
    </row>
    <row r="522" spans="2:25">
      <c r="B522" s="199"/>
      <c r="G522" s="131"/>
      <c r="H522" s="131"/>
      <c r="I522" s="131"/>
      <c r="J522" s="131"/>
      <c r="K522" s="131"/>
      <c r="L522" s="131"/>
      <c r="M522" s="131"/>
      <c r="N522" s="131"/>
      <c r="O522" s="131"/>
      <c r="P522" s="131"/>
      <c r="Q522" s="131"/>
      <c r="R522" s="131"/>
      <c r="S522" s="131"/>
      <c r="T522" s="131"/>
      <c r="U522" s="131"/>
      <c r="V522" s="131"/>
      <c r="W522" s="131"/>
      <c r="X522" s="131"/>
      <c r="Y522" s="131"/>
    </row>
    <row r="523" spans="2:25">
      <c r="B523" s="199"/>
      <c r="G523" s="131"/>
      <c r="H523" s="131"/>
      <c r="I523" s="131"/>
      <c r="J523" s="131"/>
      <c r="K523" s="131"/>
      <c r="L523" s="131"/>
      <c r="M523" s="131"/>
      <c r="N523" s="131"/>
      <c r="O523" s="131"/>
      <c r="P523" s="131"/>
      <c r="Q523" s="131"/>
      <c r="R523" s="131"/>
      <c r="S523" s="131"/>
      <c r="T523" s="131"/>
      <c r="U523" s="131"/>
      <c r="V523" s="131"/>
      <c r="W523" s="131"/>
      <c r="X523" s="131"/>
      <c r="Y523" s="131"/>
    </row>
    <row r="524" spans="2:25">
      <c r="B524" s="199"/>
      <c r="G524" s="131"/>
      <c r="H524" s="131"/>
      <c r="I524" s="131"/>
      <c r="J524" s="131"/>
      <c r="K524" s="131"/>
      <c r="L524" s="131"/>
      <c r="M524" s="131"/>
      <c r="N524" s="131"/>
      <c r="O524" s="131"/>
      <c r="P524" s="131"/>
      <c r="Q524" s="131"/>
      <c r="R524" s="131"/>
      <c r="S524" s="131"/>
      <c r="T524" s="131"/>
      <c r="U524" s="131"/>
      <c r="V524" s="131"/>
      <c r="W524" s="131"/>
      <c r="X524" s="131"/>
      <c r="Y524" s="131"/>
    </row>
    <row r="525" spans="2:25">
      <c r="B525" s="199"/>
      <c r="G525" s="131"/>
      <c r="H525" s="131"/>
      <c r="I525" s="131"/>
      <c r="J525" s="131"/>
      <c r="K525" s="131"/>
      <c r="L525" s="131"/>
      <c r="M525" s="131"/>
      <c r="N525" s="131"/>
      <c r="O525" s="131"/>
      <c r="P525" s="131"/>
      <c r="Q525" s="131"/>
      <c r="R525" s="131"/>
      <c r="S525" s="131"/>
      <c r="T525" s="131"/>
      <c r="U525" s="131"/>
      <c r="V525" s="131"/>
      <c r="W525" s="131"/>
      <c r="X525" s="131"/>
      <c r="Y525" s="131"/>
    </row>
    <row r="526" spans="2:25">
      <c r="B526" s="199"/>
      <c r="G526" s="131"/>
      <c r="H526" s="131"/>
      <c r="I526" s="131"/>
      <c r="J526" s="131"/>
      <c r="K526" s="131"/>
      <c r="L526" s="131"/>
      <c r="M526" s="131"/>
      <c r="N526" s="131"/>
      <c r="O526" s="131"/>
      <c r="P526" s="131"/>
      <c r="Q526" s="131"/>
      <c r="R526" s="131"/>
      <c r="S526" s="131"/>
      <c r="T526" s="131"/>
      <c r="U526" s="131"/>
      <c r="V526" s="131"/>
      <c r="W526" s="131"/>
      <c r="X526" s="131"/>
      <c r="Y526" s="131"/>
    </row>
    <row r="527" spans="2:25">
      <c r="B527" s="199"/>
      <c r="G527" s="131"/>
      <c r="H527" s="131"/>
      <c r="I527" s="131"/>
      <c r="J527" s="131"/>
      <c r="K527" s="131"/>
      <c r="L527" s="131"/>
      <c r="M527" s="131"/>
      <c r="N527" s="131"/>
      <c r="O527" s="131"/>
      <c r="P527" s="131"/>
      <c r="Q527" s="131"/>
      <c r="R527" s="131"/>
      <c r="S527" s="131"/>
      <c r="T527" s="131"/>
      <c r="U527" s="131"/>
      <c r="V527" s="131"/>
      <c r="W527" s="131"/>
      <c r="X527" s="131"/>
      <c r="Y527" s="131"/>
    </row>
    <row r="530" spans="2:6">
      <c r="B530" s="202" t="s">
        <v>308</v>
      </c>
      <c r="F530" s="110"/>
    </row>
    <row r="531" spans="2:6" ht="17.25" customHeight="1">
      <c r="B531" s="203" t="s">
        <v>8</v>
      </c>
      <c r="C531" s="204" t="s">
        <v>309</v>
      </c>
      <c r="D531" s="204" t="s">
        <v>57</v>
      </c>
      <c r="E531" s="205" t="s">
        <v>310</v>
      </c>
      <c r="F531" s="201"/>
    </row>
    <row r="532" spans="2:6" ht="19.5" customHeight="1">
      <c r="B532" s="188" t="s">
        <v>42</v>
      </c>
      <c r="C532" s="189">
        <f>2552</f>
        <v>2552</v>
      </c>
      <c r="D532" s="189">
        <v>27997</v>
      </c>
      <c r="E532" s="190">
        <f>SUM(C532+D532)</f>
        <v>30549</v>
      </c>
      <c r="F532" s="36"/>
    </row>
    <row r="533" spans="2:6" ht="17.25" customHeight="1">
      <c r="B533" s="191" t="s">
        <v>43</v>
      </c>
      <c r="C533" s="37">
        <f>794.3</f>
        <v>794.3</v>
      </c>
      <c r="D533" s="37">
        <v>8757.0400000000009</v>
      </c>
      <c r="E533" s="37">
        <f t="shared" ref="E533:E557" si="4">SUM(C533+D533)</f>
        <v>9551.34</v>
      </c>
      <c r="F533" s="36"/>
    </row>
    <row r="534" spans="2:6" ht="17.25" customHeight="1">
      <c r="B534" s="191" t="s">
        <v>44</v>
      </c>
      <c r="C534" s="37">
        <v>1600</v>
      </c>
      <c r="D534" s="37">
        <v>4772</v>
      </c>
      <c r="E534" s="37">
        <f t="shared" si="4"/>
        <v>6372</v>
      </c>
      <c r="F534" s="36"/>
    </row>
    <row r="535" spans="2:6" ht="17.25" customHeight="1">
      <c r="B535" s="191" t="s">
        <v>188</v>
      </c>
      <c r="C535" s="37">
        <v>0</v>
      </c>
      <c r="D535" s="37">
        <v>6230</v>
      </c>
      <c r="E535" s="37">
        <f t="shared" si="4"/>
        <v>6230</v>
      </c>
      <c r="F535" s="36"/>
    </row>
    <row r="536" spans="2:6" ht="17.25" customHeight="1">
      <c r="B536" s="191" t="s">
        <v>73</v>
      </c>
      <c r="C536" s="37">
        <v>0</v>
      </c>
      <c r="D536" s="37">
        <v>0</v>
      </c>
      <c r="E536" s="37">
        <f t="shared" si="4"/>
        <v>0</v>
      </c>
      <c r="F536" s="36"/>
    </row>
    <row r="537" spans="2:6" ht="17.25" customHeight="1">
      <c r="B537" s="191" t="s">
        <v>46</v>
      </c>
      <c r="C537" s="37">
        <v>233</v>
      </c>
      <c r="D537" s="37">
        <v>56</v>
      </c>
      <c r="E537" s="37">
        <f t="shared" si="4"/>
        <v>289</v>
      </c>
      <c r="F537" s="36"/>
    </row>
    <row r="538" spans="2:6" ht="17.25" customHeight="1">
      <c r="B538" s="191" t="s">
        <v>75</v>
      </c>
      <c r="C538" s="37">
        <v>60</v>
      </c>
      <c r="D538" s="37">
        <v>0</v>
      </c>
      <c r="E538" s="37">
        <f t="shared" si="4"/>
        <v>60</v>
      </c>
      <c r="F538" s="36"/>
    </row>
    <row r="539" spans="2:6" ht="17.25" customHeight="1">
      <c r="B539" s="191" t="s">
        <v>64</v>
      </c>
      <c r="C539" s="37">
        <v>330</v>
      </c>
      <c r="D539" s="37">
        <v>0</v>
      </c>
      <c r="E539" s="37">
        <f t="shared" si="4"/>
        <v>330</v>
      </c>
      <c r="F539" s="36"/>
    </row>
    <row r="540" spans="2:6" ht="17.25" customHeight="1">
      <c r="B540" s="191" t="s">
        <v>65</v>
      </c>
      <c r="C540" s="37">
        <f>800</f>
        <v>800</v>
      </c>
      <c r="D540" s="37">
        <v>400</v>
      </c>
      <c r="E540" s="37">
        <f t="shared" si="4"/>
        <v>1200</v>
      </c>
      <c r="F540" s="36"/>
    </row>
    <row r="541" spans="2:6" ht="17.25" customHeight="1">
      <c r="B541" s="191" t="s">
        <v>160</v>
      </c>
      <c r="C541" s="37">
        <v>0</v>
      </c>
      <c r="D541" s="37">
        <v>0</v>
      </c>
      <c r="E541" s="37">
        <f t="shared" si="4"/>
        <v>0</v>
      </c>
      <c r="F541" s="36"/>
    </row>
    <row r="542" spans="2:6" ht="17.25" customHeight="1">
      <c r="B542" s="191" t="s">
        <v>74</v>
      </c>
      <c r="C542" s="37">
        <v>15100</v>
      </c>
      <c r="D542" s="37">
        <v>8100</v>
      </c>
      <c r="E542" s="37">
        <f t="shared" si="4"/>
        <v>23200</v>
      </c>
      <c r="F542" s="36"/>
    </row>
    <row r="543" spans="2:6" ht="17.25" customHeight="1">
      <c r="B543" s="191" t="s">
        <v>55</v>
      </c>
      <c r="C543" s="37">
        <v>150</v>
      </c>
      <c r="D543" s="37">
        <v>25</v>
      </c>
      <c r="E543" s="37">
        <f t="shared" si="4"/>
        <v>175</v>
      </c>
      <c r="F543" s="36"/>
    </row>
    <row r="544" spans="2:6" ht="17.25" customHeight="1">
      <c r="B544" s="191" t="s">
        <v>56</v>
      </c>
      <c r="C544" s="37">
        <v>480</v>
      </c>
      <c r="D544" s="37">
        <v>1080</v>
      </c>
      <c r="E544" s="37">
        <f t="shared" si="4"/>
        <v>1560</v>
      </c>
      <c r="F544" s="36"/>
    </row>
    <row r="545" spans="2:6" ht="17.25" customHeight="1">
      <c r="B545" s="192" t="s">
        <v>53</v>
      </c>
      <c r="C545" s="37">
        <v>53111.51</v>
      </c>
      <c r="D545" s="37">
        <v>9626.17</v>
      </c>
      <c r="E545" s="37">
        <f t="shared" si="4"/>
        <v>62737.68</v>
      </c>
      <c r="F545" s="36"/>
    </row>
    <row r="546" spans="2:6" ht="17.25" customHeight="1">
      <c r="B546" s="192" t="s">
        <v>77</v>
      </c>
      <c r="C546" s="37">
        <f>2000</f>
        <v>2000</v>
      </c>
      <c r="D546" s="37">
        <v>0</v>
      </c>
      <c r="E546" s="37">
        <f t="shared" si="4"/>
        <v>2000</v>
      </c>
      <c r="F546" s="36"/>
    </row>
    <row r="547" spans="2:6" ht="17.25" customHeight="1">
      <c r="B547" s="192" t="s">
        <v>76</v>
      </c>
      <c r="C547" s="37">
        <v>324</v>
      </c>
      <c r="D547" s="37">
        <v>0</v>
      </c>
      <c r="E547" s="37">
        <f t="shared" si="4"/>
        <v>324</v>
      </c>
      <c r="F547" s="36"/>
    </row>
    <row r="548" spans="2:6" ht="17.25" customHeight="1">
      <c r="B548" s="192" t="s">
        <v>158</v>
      </c>
      <c r="C548" s="37">
        <v>172830.14</v>
      </c>
      <c r="D548" s="37">
        <v>56196.76</v>
      </c>
      <c r="E548" s="37">
        <f t="shared" si="4"/>
        <v>229026.90000000002</v>
      </c>
      <c r="F548" s="36"/>
    </row>
    <row r="549" spans="2:6" ht="17.25" customHeight="1">
      <c r="B549" s="191" t="s">
        <v>66</v>
      </c>
      <c r="C549" s="37">
        <v>3026587.09</v>
      </c>
      <c r="D549" s="37">
        <v>789317.83</v>
      </c>
      <c r="E549" s="37">
        <f t="shared" si="4"/>
        <v>3815904.92</v>
      </c>
      <c r="F549" s="36"/>
    </row>
    <row r="550" spans="2:6" ht="17.25" customHeight="1">
      <c r="B550" s="191" t="s">
        <v>67</v>
      </c>
      <c r="C550" s="37">
        <v>740199.56</v>
      </c>
      <c r="D550" s="37">
        <v>201691.06</v>
      </c>
      <c r="E550" s="37">
        <f t="shared" si="4"/>
        <v>941890.62000000011</v>
      </c>
      <c r="F550" s="36"/>
    </row>
    <row r="551" spans="2:6" ht="17.25" customHeight="1">
      <c r="B551" s="38" t="s">
        <v>48</v>
      </c>
      <c r="C551" s="111">
        <f>31194.94</f>
        <v>31194.94</v>
      </c>
      <c r="D551" s="37">
        <v>10401.84</v>
      </c>
      <c r="E551" s="37">
        <f t="shared" si="4"/>
        <v>41596.78</v>
      </c>
      <c r="F551" s="36"/>
    </row>
    <row r="552" spans="2:6" ht="17.25" customHeight="1">
      <c r="B552" s="191" t="s">
        <v>49</v>
      </c>
      <c r="C552" s="37">
        <v>0</v>
      </c>
      <c r="D552" s="37">
        <v>0</v>
      </c>
      <c r="E552" s="37">
        <f t="shared" si="4"/>
        <v>0</v>
      </c>
      <c r="F552" s="36"/>
    </row>
    <row r="553" spans="2:6" ht="17.25" customHeight="1">
      <c r="B553" s="191" t="s">
        <v>50</v>
      </c>
      <c r="C553" s="37">
        <v>1543884.55</v>
      </c>
      <c r="D553" s="37">
        <v>476303.7</v>
      </c>
      <c r="E553" s="37">
        <f t="shared" si="4"/>
        <v>2020188.25</v>
      </c>
      <c r="F553" s="36"/>
    </row>
    <row r="554" spans="2:6" ht="17.25" customHeight="1">
      <c r="B554" s="192" t="s">
        <v>54</v>
      </c>
      <c r="C554" s="37">
        <v>18106.79</v>
      </c>
      <c r="D554" s="37">
        <v>0</v>
      </c>
      <c r="E554" s="37">
        <f t="shared" si="4"/>
        <v>18106.79</v>
      </c>
      <c r="F554" s="36"/>
    </row>
    <row r="555" spans="2:6" ht="17.25" customHeight="1">
      <c r="B555" s="191" t="s">
        <v>51</v>
      </c>
      <c r="C555" s="37">
        <v>11585.92</v>
      </c>
      <c r="D555" s="37">
        <v>10432.799999999999</v>
      </c>
      <c r="E555" s="37">
        <f t="shared" si="4"/>
        <v>22018.720000000001</v>
      </c>
      <c r="F555" s="36"/>
    </row>
    <row r="556" spans="2:6" ht="17.25" customHeight="1">
      <c r="B556" s="191" t="s">
        <v>47</v>
      </c>
      <c r="C556" s="37">
        <v>118432</v>
      </c>
      <c r="D556" s="37">
        <v>53156</v>
      </c>
      <c r="E556" s="37">
        <f t="shared" si="4"/>
        <v>171588</v>
      </c>
      <c r="F556" s="36"/>
    </row>
    <row r="557" spans="2:6" ht="17.25" customHeight="1">
      <c r="B557" s="191" t="s">
        <v>52</v>
      </c>
      <c r="C557" s="37">
        <v>10256447</v>
      </c>
      <c r="D557" s="37">
        <v>689000</v>
      </c>
      <c r="E557" s="37">
        <f t="shared" si="4"/>
        <v>10945447</v>
      </c>
      <c r="F557" s="36"/>
    </row>
    <row r="558" spans="2:6" ht="17.25" customHeight="1">
      <c r="B558" s="193"/>
      <c r="C558" s="86"/>
      <c r="D558" s="194"/>
      <c r="E558" s="194"/>
      <c r="F558" s="36"/>
    </row>
    <row r="559" spans="2:6" s="156" customFormat="1" ht="17.25" customHeight="1" thickBot="1">
      <c r="B559" s="195" t="s">
        <v>165</v>
      </c>
      <c r="C559" s="174">
        <f>SUM(C532:C558)</f>
        <v>15996802.800000001</v>
      </c>
      <c r="D559" s="174">
        <f>SUM(D532:D558)</f>
        <v>2353543.2000000002</v>
      </c>
      <c r="E559" s="196">
        <f>SUM(E532:E558)</f>
        <v>18350346</v>
      </c>
      <c r="F559" s="197"/>
    </row>
    <row r="560" spans="2:6" s="156" customFormat="1" ht="17.25" customHeight="1" thickTop="1">
      <c r="B560" s="198"/>
      <c r="D560" s="197"/>
      <c r="E560" s="197"/>
      <c r="F560" s="197"/>
    </row>
    <row r="561" spans="2:25" s="156" customFormat="1" ht="17.25" customHeight="1">
      <c r="B561" s="198"/>
      <c r="C561" s="197"/>
      <c r="D561" s="197"/>
      <c r="E561" s="197"/>
      <c r="F561" s="197"/>
    </row>
    <row r="562" spans="2:25" s="156" customFormat="1" ht="17.25" customHeight="1">
      <c r="B562" s="198"/>
      <c r="C562" s="197"/>
      <c r="D562" s="197"/>
      <c r="E562" s="197"/>
      <c r="F562" s="197"/>
    </row>
    <row r="563" spans="2:25">
      <c r="B563" s="199" t="s">
        <v>269</v>
      </c>
      <c r="G563" s="200"/>
      <c r="H563" s="201"/>
      <c r="I563" s="201"/>
      <c r="J563" s="201"/>
    </row>
    <row r="564" spans="2:25">
      <c r="B564" s="199" t="s">
        <v>283</v>
      </c>
      <c r="G564" s="131"/>
      <c r="H564" s="131"/>
      <c r="I564" s="131"/>
      <c r="J564" s="131"/>
      <c r="K564" s="131"/>
      <c r="L564" s="131"/>
      <c r="M564" s="131"/>
      <c r="N564" s="131"/>
      <c r="O564" s="131"/>
      <c r="P564" s="131"/>
      <c r="Q564" s="131"/>
      <c r="R564" s="131"/>
      <c r="S564" s="131"/>
      <c r="T564" s="131"/>
      <c r="U564" s="131"/>
      <c r="V564" s="131"/>
      <c r="W564" s="131"/>
      <c r="X564" s="131"/>
      <c r="Y564" s="131"/>
    </row>
    <row r="565" spans="2:25" s="156" customFormat="1" ht="17.25" customHeight="1">
      <c r="B565" s="198"/>
      <c r="C565" s="197"/>
      <c r="D565" s="197"/>
      <c r="E565" s="197"/>
      <c r="F565" s="197"/>
    </row>
    <row r="566" spans="2:25" s="156" customFormat="1" ht="17.25" customHeight="1">
      <c r="B566" s="198"/>
      <c r="C566" s="197"/>
      <c r="D566" s="197"/>
      <c r="E566" s="197"/>
      <c r="F566" s="197"/>
    </row>
    <row r="567" spans="2:25" s="156" customFormat="1" ht="17.25" customHeight="1">
      <c r="B567" s="198"/>
      <c r="C567" s="197"/>
      <c r="D567" s="197"/>
      <c r="E567" s="197"/>
      <c r="F567" s="197"/>
    </row>
    <row r="568" spans="2:25" s="156" customFormat="1" ht="17.25" customHeight="1">
      <c r="B568" s="198"/>
      <c r="C568" s="197"/>
      <c r="D568" s="197"/>
      <c r="E568" s="197"/>
      <c r="F568" s="197"/>
    </row>
    <row r="569" spans="2:25" s="156" customFormat="1" ht="17.25" customHeight="1">
      <c r="B569" s="198"/>
      <c r="C569" s="197"/>
      <c r="D569" s="197"/>
      <c r="E569" s="197"/>
      <c r="F569" s="197"/>
    </row>
    <row r="570" spans="2:25" s="156" customFormat="1" ht="17.25" customHeight="1">
      <c r="B570" s="198"/>
      <c r="C570" s="197"/>
      <c r="D570" s="197"/>
      <c r="E570" s="197"/>
      <c r="F570" s="197"/>
    </row>
    <row r="571" spans="2:25" s="156" customFormat="1" ht="17.25" customHeight="1">
      <c r="B571" s="198"/>
      <c r="C571" s="197"/>
      <c r="D571" s="197"/>
      <c r="E571" s="197"/>
      <c r="F571" s="197"/>
    </row>
    <row r="572" spans="2:25" s="156" customFormat="1" ht="17.25" customHeight="1">
      <c r="B572" s="198"/>
      <c r="C572" s="197"/>
      <c r="D572" s="197"/>
      <c r="E572" s="197"/>
      <c r="F572" s="197"/>
    </row>
    <row r="573" spans="2:25" s="156" customFormat="1" ht="17.25" customHeight="1">
      <c r="B573" s="198"/>
      <c r="C573" s="197"/>
      <c r="D573" s="197"/>
      <c r="E573" s="197"/>
      <c r="F573" s="197"/>
    </row>
    <row r="574" spans="2:25" s="156" customFormat="1" ht="17.25" customHeight="1">
      <c r="B574" s="198"/>
      <c r="C574" s="197"/>
      <c r="D574" s="197"/>
      <c r="E574" s="197"/>
      <c r="F574" s="197"/>
    </row>
    <row r="575" spans="2:25" s="156" customFormat="1" ht="17.25" customHeight="1">
      <c r="B575" s="198"/>
      <c r="C575" s="197"/>
      <c r="D575" s="197"/>
      <c r="E575" s="197"/>
      <c r="F575" s="197"/>
    </row>
    <row r="576" spans="2:25" s="156" customFormat="1" ht="17.25" customHeight="1">
      <c r="B576" s="198"/>
      <c r="C576" s="197"/>
      <c r="D576" s="197"/>
      <c r="E576" s="197"/>
      <c r="F576" s="197"/>
    </row>
    <row r="577" spans="2:10" s="156" customFormat="1" ht="17.25" customHeight="1">
      <c r="B577" s="198"/>
      <c r="C577" s="197"/>
      <c r="D577" s="197"/>
      <c r="E577" s="197"/>
      <c r="F577" s="197"/>
    </row>
    <row r="578" spans="2:10" s="156" customFormat="1" ht="17.25" customHeight="1">
      <c r="B578" s="198"/>
      <c r="C578" s="197"/>
      <c r="D578" s="197"/>
      <c r="E578" s="197"/>
      <c r="F578" s="197"/>
    </row>
    <row r="579" spans="2:10" ht="20.25" customHeight="1">
      <c r="B579" s="206" t="s">
        <v>311</v>
      </c>
      <c r="H579" s="131"/>
      <c r="I579" s="131"/>
      <c r="J579" s="131"/>
    </row>
    <row r="580" spans="2:10" ht="18" customHeight="1">
      <c r="B580" s="203" t="s">
        <v>8</v>
      </c>
      <c r="C580" s="204" t="s">
        <v>58</v>
      </c>
      <c r="D580" s="204" t="s">
        <v>59</v>
      </c>
      <c r="E580" s="204" t="s">
        <v>60</v>
      </c>
      <c r="F580" s="201"/>
      <c r="H580" s="131"/>
      <c r="I580" s="131"/>
      <c r="J580" s="131"/>
    </row>
    <row r="581" spans="2:10">
      <c r="B581" s="38" t="s">
        <v>298</v>
      </c>
      <c r="C581" s="86"/>
      <c r="D581" s="86">
        <v>2534000</v>
      </c>
      <c r="E581" s="37"/>
      <c r="F581" s="110"/>
      <c r="H581" s="131"/>
      <c r="I581" s="131"/>
      <c r="J581" s="131"/>
    </row>
    <row r="582" spans="2:10">
      <c r="B582" s="38" t="s">
        <v>299</v>
      </c>
      <c r="C582" s="37"/>
      <c r="D582" s="37"/>
      <c r="E582" s="37"/>
      <c r="F582" s="110"/>
      <c r="H582" s="131"/>
      <c r="I582" s="131"/>
      <c r="J582" s="131"/>
    </row>
    <row r="583" spans="2:10" ht="18" customHeight="1">
      <c r="B583" s="282" t="s">
        <v>312</v>
      </c>
      <c r="C583" s="37"/>
      <c r="D583" s="37">
        <v>178000</v>
      </c>
      <c r="E583" s="37"/>
      <c r="F583" s="36"/>
      <c r="H583" s="131"/>
      <c r="I583" s="131"/>
      <c r="J583" s="131"/>
    </row>
    <row r="584" spans="2:10" ht="18" customHeight="1">
      <c r="B584" s="193" t="s">
        <v>297</v>
      </c>
      <c r="C584" s="86"/>
      <c r="D584" s="86"/>
      <c r="E584" s="39"/>
      <c r="F584" s="36"/>
      <c r="H584" s="131"/>
      <c r="I584" s="131"/>
      <c r="J584" s="131"/>
    </row>
    <row r="585" spans="2:10" s="156" customFormat="1" ht="20.25" customHeight="1" thickBot="1">
      <c r="B585" s="195" t="s">
        <v>166</v>
      </c>
      <c r="C585" s="174">
        <f>SUM(C584:C584)</f>
        <v>0</v>
      </c>
      <c r="D585" s="174">
        <f>SUM(D581:D584)</f>
        <v>2712000</v>
      </c>
      <c r="E585" s="174"/>
      <c r="F585" s="197"/>
    </row>
    <row r="586" spans="2:10" s="156" customFormat="1" ht="20.25" customHeight="1" thickTop="1">
      <c r="B586" s="198"/>
      <c r="C586" s="197"/>
      <c r="D586" s="197"/>
      <c r="E586" s="197"/>
      <c r="F586" s="197"/>
    </row>
    <row r="587" spans="2:10" ht="20.25" customHeight="1">
      <c r="B587" s="206" t="s">
        <v>278</v>
      </c>
      <c r="H587" s="131"/>
      <c r="I587" s="131"/>
      <c r="J587" s="131"/>
    </row>
    <row r="588" spans="2:10" ht="18" customHeight="1">
      <c r="B588" s="203" t="s">
        <v>8</v>
      </c>
      <c r="C588" s="204" t="s">
        <v>58</v>
      </c>
      <c r="D588" s="204" t="s">
        <v>59</v>
      </c>
      <c r="E588" s="204" t="s">
        <v>60</v>
      </c>
      <c r="F588" s="201"/>
      <c r="H588" s="131"/>
      <c r="I588" s="131"/>
      <c r="J588" s="131"/>
    </row>
    <row r="589" spans="2:10">
      <c r="B589" s="207" t="s">
        <v>163</v>
      </c>
      <c r="C589" s="37">
        <v>0</v>
      </c>
      <c r="D589" s="37">
        <v>5000</v>
      </c>
      <c r="E589" s="37"/>
      <c r="F589" s="110"/>
      <c r="H589" s="131"/>
      <c r="I589" s="131"/>
      <c r="J589" s="131"/>
    </row>
    <row r="590" spans="2:10">
      <c r="B590" s="207" t="s">
        <v>164</v>
      </c>
      <c r="C590" s="37">
        <v>0</v>
      </c>
      <c r="D590" s="37">
        <v>28000</v>
      </c>
      <c r="E590" s="37"/>
      <c r="F590" s="110"/>
      <c r="H590" s="131"/>
      <c r="I590" s="131"/>
      <c r="J590" s="131"/>
    </row>
    <row r="591" spans="2:10" ht="18" customHeight="1">
      <c r="B591" s="207" t="s">
        <v>182</v>
      </c>
      <c r="C591" s="37">
        <v>0</v>
      </c>
      <c r="D591" s="37">
        <v>20000</v>
      </c>
      <c r="E591" s="37"/>
      <c r="F591" s="36"/>
      <c r="H591" s="131"/>
      <c r="I591" s="131"/>
      <c r="J591" s="131"/>
    </row>
    <row r="592" spans="2:10" ht="18" customHeight="1">
      <c r="B592" s="207" t="s">
        <v>200</v>
      </c>
      <c r="C592" s="37">
        <v>0</v>
      </c>
      <c r="D592" s="37">
        <v>133831.48000000001</v>
      </c>
      <c r="E592" s="37"/>
      <c r="F592" s="36"/>
      <c r="H592" s="131"/>
      <c r="I592" s="131"/>
      <c r="J592" s="131"/>
    </row>
    <row r="593" spans="2:10">
      <c r="B593" s="207" t="s">
        <v>201</v>
      </c>
      <c r="C593" s="37"/>
      <c r="D593" s="37">
        <v>98000</v>
      </c>
      <c r="E593" s="37"/>
      <c r="F593" s="110"/>
      <c r="H593" s="208"/>
      <c r="I593" s="131"/>
      <c r="J593" s="131"/>
    </row>
    <row r="594" spans="2:10" ht="18" customHeight="1">
      <c r="B594" s="207" t="s">
        <v>202</v>
      </c>
      <c r="C594" s="37"/>
      <c r="D594" s="37">
        <v>277000</v>
      </c>
      <c r="E594" s="37"/>
      <c r="F594" s="36"/>
      <c r="H594" s="131"/>
      <c r="I594" s="131"/>
      <c r="J594" s="131"/>
    </row>
    <row r="595" spans="2:10" ht="18" customHeight="1">
      <c r="B595" s="207" t="s">
        <v>203</v>
      </c>
      <c r="C595" s="37"/>
      <c r="D595" s="37">
        <v>198000</v>
      </c>
      <c r="E595" s="39"/>
      <c r="F595" s="36"/>
      <c r="H595" s="131"/>
      <c r="I595" s="131"/>
      <c r="J595" s="131"/>
    </row>
    <row r="596" spans="2:10" ht="18" customHeight="1">
      <c r="B596" s="207" t="s">
        <v>204</v>
      </c>
      <c r="C596" s="86"/>
      <c r="D596" s="86">
        <v>228000</v>
      </c>
      <c r="E596" s="39"/>
      <c r="F596" s="36"/>
      <c r="H596" s="131"/>
      <c r="I596" s="131"/>
      <c r="J596" s="131"/>
    </row>
    <row r="597" spans="2:10" ht="18" customHeight="1">
      <c r="B597" s="207" t="s">
        <v>205</v>
      </c>
      <c r="C597" s="37"/>
      <c r="D597" s="37">
        <v>199000</v>
      </c>
      <c r="E597" s="39"/>
      <c r="F597" s="36"/>
      <c r="H597" s="131"/>
      <c r="I597" s="131"/>
      <c r="J597" s="131"/>
    </row>
    <row r="598" spans="2:10" ht="18" customHeight="1">
      <c r="B598" s="38" t="s">
        <v>236</v>
      </c>
      <c r="C598" s="86"/>
      <c r="D598" s="37">
        <v>166000</v>
      </c>
      <c r="E598" s="39"/>
      <c r="F598" s="36"/>
      <c r="H598" s="131"/>
      <c r="I598" s="131"/>
      <c r="J598" s="131"/>
    </row>
    <row r="599" spans="2:10" ht="18" customHeight="1">
      <c r="B599" s="38" t="s">
        <v>237</v>
      </c>
      <c r="C599" s="37"/>
      <c r="D599" s="37">
        <v>445000</v>
      </c>
      <c r="E599" s="39"/>
      <c r="F599" s="36"/>
      <c r="H599" s="131"/>
      <c r="I599" s="131"/>
      <c r="J599" s="131"/>
    </row>
    <row r="600" spans="2:10" ht="18" customHeight="1">
      <c r="B600" s="38" t="s">
        <v>238</v>
      </c>
      <c r="C600" s="37"/>
      <c r="D600" s="37">
        <v>39000</v>
      </c>
      <c r="E600" s="39"/>
      <c r="F600" s="36"/>
      <c r="H600" s="131"/>
      <c r="I600" s="131"/>
      <c r="J600" s="131"/>
    </row>
    <row r="601" spans="2:10" ht="18" customHeight="1">
      <c r="B601" s="38" t="s">
        <v>272</v>
      </c>
      <c r="C601" s="86"/>
      <c r="D601" s="86">
        <v>521617</v>
      </c>
      <c r="E601" s="39"/>
      <c r="F601" s="36"/>
      <c r="H601" s="131"/>
      <c r="I601" s="131"/>
      <c r="J601" s="131"/>
    </row>
    <row r="602" spans="2:10" ht="18" customHeight="1">
      <c r="B602" s="38" t="s">
        <v>271</v>
      </c>
      <c r="C602" s="37"/>
      <c r="D602" s="37"/>
      <c r="E602" s="39"/>
      <c r="F602" s="36"/>
      <c r="H602" s="131"/>
      <c r="I602" s="131"/>
      <c r="J602" s="131"/>
    </row>
    <row r="603" spans="2:10">
      <c r="B603" s="207" t="s">
        <v>296</v>
      </c>
      <c r="C603" s="86"/>
      <c r="D603" s="86">
        <v>363000</v>
      </c>
      <c r="E603" s="37"/>
      <c r="F603" s="110"/>
      <c r="H603" s="131"/>
      <c r="I603" s="131"/>
      <c r="J603" s="131"/>
    </row>
    <row r="604" spans="2:10">
      <c r="B604" s="38" t="s">
        <v>297</v>
      </c>
      <c r="C604" s="37"/>
      <c r="D604" s="37"/>
      <c r="E604" s="37"/>
      <c r="F604" s="110"/>
      <c r="H604" s="131"/>
      <c r="I604" s="131"/>
      <c r="J604" s="131"/>
    </row>
    <row r="605" spans="2:10" ht="18" customHeight="1">
      <c r="B605" s="38" t="s">
        <v>298</v>
      </c>
      <c r="C605" s="37"/>
      <c r="D605" s="37">
        <v>873675.86</v>
      </c>
      <c r="E605" s="37"/>
      <c r="F605" s="36"/>
      <c r="H605" s="131"/>
      <c r="I605" s="131"/>
      <c r="J605" s="131"/>
    </row>
    <row r="606" spans="2:10" ht="18" customHeight="1">
      <c r="B606" s="38" t="s">
        <v>299</v>
      </c>
      <c r="C606" s="86"/>
      <c r="D606" s="86"/>
      <c r="E606" s="39"/>
      <c r="F606" s="36"/>
      <c r="H606" s="131"/>
      <c r="I606" s="131"/>
      <c r="J606" s="131"/>
    </row>
    <row r="607" spans="2:10" ht="18" customHeight="1">
      <c r="B607" s="38" t="s">
        <v>298</v>
      </c>
      <c r="C607" s="86"/>
      <c r="D607" s="86">
        <v>2534000</v>
      </c>
      <c r="E607" s="39"/>
      <c r="F607" s="36"/>
      <c r="H607" s="131"/>
      <c r="I607" s="131"/>
      <c r="J607" s="131"/>
    </row>
    <row r="608" spans="2:10" ht="18" customHeight="1">
      <c r="B608" s="38" t="s">
        <v>299</v>
      </c>
      <c r="C608" s="37"/>
      <c r="D608" s="37"/>
      <c r="E608" s="39"/>
      <c r="F608" s="36"/>
      <c r="H608" s="131"/>
      <c r="I608" s="131"/>
      <c r="J608" s="131"/>
    </row>
    <row r="609" spans="2:25" ht="18" customHeight="1">
      <c r="B609" s="282" t="s">
        <v>312</v>
      </c>
      <c r="C609" s="37"/>
      <c r="D609" s="37">
        <v>178000</v>
      </c>
      <c r="E609" s="39"/>
      <c r="F609" s="36"/>
      <c r="H609" s="131"/>
      <c r="I609" s="131"/>
      <c r="J609" s="131"/>
    </row>
    <row r="610" spans="2:25" ht="18" customHeight="1">
      <c r="B610" s="193" t="s">
        <v>297</v>
      </c>
      <c r="C610" s="86"/>
      <c r="D610" s="86"/>
      <c r="E610" s="39"/>
      <c r="F610" s="36"/>
      <c r="H610" s="131"/>
      <c r="I610" s="131"/>
      <c r="J610" s="131"/>
    </row>
    <row r="611" spans="2:25" s="156" customFormat="1" ht="20.25" customHeight="1" thickBot="1">
      <c r="B611" s="195" t="s">
        <v>166</v>
      </c>
      <c r="C611" s="174">
        <f>SUM(C610:C610)</f>
        <v>0</v>
      </c>
      <c r="D611" s="174">
        <f>SUM(D589:D610)</f>
        <v>6307124.3399999999</v>
      </c>
      <c r="E611" s="174"/>
      <c r="F611" s="197"/>
    </row>
    <row r="612" spans="2:25" ht="18" thickTop="1"/>
    <row r="614" spans="2:25">
      <c r="B614" s="199" t="s">
        <v>269</v>
      </c>
      <c r="G614" s="200"/>
      <c r="H614" s="201"/>
      <c r="I614" s="201"/>
      <c r="J614" s="201"/>
    </row>
    <row r="615" spans="2:25">
      <c r="B615" s="199" t="s">
        <v>283</v>
      </c>
      <c r="G615" s="131"/>
      <c r="H615" s="131"/>
      <c r="I615" s="131"/>
      <c r="J615" s="131"/>
      <c r="K615" s="131"/>
      <c r="L615" s="131"/>
      <c r="M615" s="131"/>
      <c r="N615" s="131"/>
      <c r="O615" s="131"/>
      <c r="P615" s="131"/>
      <c r="Q615" s="131"/>
      <c r="R615" s="131"/>
      <c r="S615" s="131"/>
      <c r="T615" s="131"/>
      <c r="U615" s="131"/>
      <c r="V615" s="131"/>
      <c r="W615" s="131"/>
      <c r="X615" s="131"/>
      <c r="Y615" s="131"/>
    </row>
    <row r="616" spans="2:25">
      <c r="B616" s="199"/>
      <c r="G616" s="131"/>
      <c r="H616" s="131"/>
      <c r="I616" s="131"/>
      <c r="J616" s="131"/>
      <c r="K616" s="131"/>
      <c r="L616" s="131"/>
      <c r="M616" s="131"/>
      <c r="N616" s="131"/>
      <c r="O616" s="131"/>
      <c r="P616" s="131"/>
      <c r="Q616" s="131"/>
      <c r="R616" s="131"/>
      <c r="S616" s="131"/>
      <c r="T616" s="131"/>
      <c r="U616" s="131"/>
      <c r="V616" s="131"/>
      <c r="W616" s="131"/>
      <c r="X616" s="131"/>
      <c r="Y616" s="131"/>
    </row>
    <row r="617" spans="2:25">
      <c r="B617" s="199"/>
      <c r="G617" s="131"/>
      <c r="H617" s="131"/>
      <c r="I617" s="131"/>
      <c r="J617" s="131"/>
      <c r="K617" s="131"/>
      <c r="L617" s="131"/>
      <c r="M617" s="131"/>
      <c r="N617" s="131"/>
      <c r="O617" s="131"/>
      <c r="P617" s="131"/>
      <c r="Q617" s="131"/>
      <c r="R617" s="131"/>
      <c r="S617" s="131"/>
      <c r="T617" s="131"/>
      <c r="U617" s="131"/>
      <c r="V617" s="131"/>
      <c r="W617" s="131"/>
      <c r="X617" s="131"/>
      <c r="Y617" s="131"/>
    </row>
    <row r="618" spans="2:25">
      <c r="B618" s="199"/>
      <c r="G618" s="131"/>
      <c r="H618" s="131"/>
      <c r="I618" s="131"/>
      <c r="J618" s="131"/>
      <c r="K618" s="131"/>
      <c r="L618" s="131"/>
      <c r="M618" s="131"/>
      <c r="N618" s="131"/>
      <c r="O618" s="131"/>
      <c r="P618" s="131"/>
      <c r="Q618" s="131"/>
      <c r="R618" s="131"/>
      <c r="S618" s="131"/>
      <c r="T618" s="131"/>
      <c r="U618" s="131"/>
      <c r="V618" s="131"/>
      <c r="W618" s="131"/>
      <c r="X618" s="131"/>
      <c r="Y618" s="131"/>
    </row>
    <row r="619" spans="2:25">
      <c r="B619" s="199"/>
      <c r="G619" s="131"/>
      <c r="H619" s="131"/>
      <c r="I619" s="131"/>
      <c r="J619" s="131"/>
      <c r="K619" s="131"/>
      <c r="L619" s="131"/>
      <c r="M619" s="131"/>
      <c r="N619" s="131"/>
      <c r="O619" s="131"/>
      <c r="P619" s="131"/>
      <c r="Q619" s="131"/>
      <c r="R619" s="131"/>
      <c r="S619" s="131"/>
      <c r="T619" s="131"/>
      <c r="U619" s="131"/>
      <c r="V619" s="131"/>
      <c r="W619" s="131"/>
      <c r="X619" s="131"/>
      <c r="Y619" s="131"/>
    </row>
    <row r="620" spans="2:25">
      <c r="B620" s="199"/>
      <c r="G620" s="131"/>
      <c r="H620" s="131"/>
      <c r="I620" s="131"/>
      <c r="J620" s="131"/>
      <c r="K620" s="131"/>
      <c r="L620" s="131"/>
      <c r="M620" s="131"/>
      <c r="N620" s="131"/>
      <c r="O620" s="131"/>
      <c r="P620" s="131"/>
      <c r="Q620" s="131"/>
      <c r="R620" s="131"/>
      <c r="S620" s="131"/>
      <c r="T620" s="131"/>
      <c r="U620" s="131"/>
      <c r="V620" s="131"/>
      <c r="W620" s="131"/>
      <c r="X620" s="131"/>
      <c r="Y620" s="131"/>
    </row>
    <row r="621" spans="2:25">
      <c r="B621" s="199"/>
      <c r="G621" s="131"/>
      <c r="H621" s="131"/>
      <c r="I621" s="131"/>
      <c r="J621" s="131"/>
      <c r="K621" s="131"/>
      <c r="L621" s="131"/>
      <c r="M621" s="131"/>
      <c r="N621" s="131"/>
      <c r="O621" s="131"/>
      <c r="P621" s="131"/>
      <c r="Q621" s="131"/>
      <c r="R621" s="131"/>
      <c r="S621" s="131"/>
      <c r="T621" s="131"/>
      <c r="U621" s="131"/>
      <c r="V621" s="131"/>
      <c r="W621" s="131"/>
      <c r="X621" s="131"/>
      <c r="Y621" s="131"/>
    </row>
    <row r="622" spans="2:25">
      <c r="B622" s="199"/>
      <c r="G622" s="131"/>
      <c r="H622" s="131"/>
      <c r="I622" s="131"/>
      <c r="J622" s="131"/>
      <c r="K622" s="131"/>
      <c r="L622" s="131"/>
      <c r="M622" s="131"/>
      <c r="N622" s="131"/>
      <c r="O622" s="131"/>
      <c r="P622" s="131"/>
      <c r="Q622" s="131"/>
      <c r="R622" s="131"/>
      <c r="S622" s="131"/>
      <c r="T622" s="131"/>
      <c r="U622" s="131"/>
      <c r="V622" s="131"/>
      <c r="W622" s="131"/>
      <c r="X622" s="131"/>
      <c r="Y622" s="131"/>
    </row>
    <row r="623" spans="2:25">
      <c r="B623" s="199"/>
      <c r="G623" s="131"/>
      <c r="H623" s="131"/>
      <c r="I623" s="131"/>
      <c r="J623" s="131"/>
      <c r="K623" s="131"/>
      <c r="L623" s="131"/>
      <c r="M623" s="131"/>
      <c r="N623" s="131"/>
      <c r="O623" s="131"/>
      <c r="P623" s="131"/>
      <c r="Q623" s="131"/>
      <c r="R623" s="131"/>
      <c r="S623" s="131"/>
      <c r="T623" s="131"/>
      <c r="U623" s="131"/>
      <c r="V623" s="131"/>
      <c r="W623" s="131"/>
      <c r="X623" s="131"/>
      <c r="Y623" s="131"/>
    </row>
    <row r="624" spans="2:25">
      <c r="B624" s="199"/>
      <c r="G624" s="131"/>
      <c r="H624" s="131"/>
      <c r="I624" s="131"/>
      <c r="J624" s="131"/>
      <c r="K624" s="131"/>
      <c r="L624" s="131"/>
      <c r="M624" s="131"/>
      <c r="N624" s="131"/>
      <c r="O624" s="131"/>
      <c r="P624" s="131"/>
      <c r="Q624" s="131"/>
      <c r="R624" s="131"/>
      <c r="S624" s="131"/>
      <c r="T624" s="131"/>
      <c r="U624" s="131"/>
      <c r="V624" s="131"/>
      <c r="W624" s="131"/>
      <c r="X624" s="131"/>
      <c r="Y624" s="131"/>
    </row>
    <row r="626" spans="2:7" ht="18" customHeight="1">
      <c r="B626" s="206" t="s">
        <v>313</v>
      </c>
    </row>
    <row r="627" spans="2:7" ht="18" customHeight="1">
      <c r="B627" s="203" t="s">
        <v>8</v>
      </c>
      <c r="C627" s="204" t="s">
        <v>58</v>
      </c>
      <c r="D627" s="204" t="s">
        <v>59</v>
      </c>
      <c r="E627" s="204" t="s">
        <v>60</v>
      </c>
      <c r="F627" s="201"/>
    </row>
    <row r="628" spans="2:7" ht="18" customHeight="1">
      <c r="B628" s="188" t="s">
        <v>61</v>
      </c>
      <c r="C628" s="209">
        <f>28601.59+1000</f>
        <v>29601.59</v>
      </c>
      <c r="D628" s="209">
        <v>12917.27</v>
      </c>
      <c r="E628" s="189"/>
      <c r="F628" s="36"/>
    </row>
    <row r="629" spans="2:7" ht="18" customHeight="1">
      <c r="B629" s="191" t="s">
        <v>62</v>
      </c>
      <c r="C629" s="269">
        <v>62950</v>
      </c>
      <c r="D629" s="37">
        <v>208070</v>
      </c>
      <c r="E629" s="37"/>
      <c r="F629" s="210"/>
    </row>
    <row r="630" spans="2:7" ht="18" customHeight="1">
      <c r="B630" s="191" t="s">
        <v>153</v>
      </c>
      <c r="C630" s="37">
        <v>0</v>
      </c>
      <c r="D630" s="37">
        <v>0</v>
      </c>
      <c r="E630" s="37"/>
      <c r="F630" s="36"/>
    </row>
    <row r="631" spans="2:7" ht="18" customHeight="1">
      <c r="B631" s="191" t="s">
        <v>155</v>
      </c>
      <c r="C631" s="37">
        <v>558.96</v>
      </c>
      <c r="D631" s="37">
        <v>0</v>
      </c>
      <c r="E631" s="37"/>
      <c r="F631" s="36"/>
    </row>
    <row r="632" spans="2:7" ht="18" customHeight="1">
      <c r="B632" s="191" t="s">
        <v>156</v>
      </c>
      <c r="C632" s="37">
        <v>10686</v>
      </c>
      <c r="D632" s="37">
        <v>10686</v>
      </c>
      <c r="E632" s="37"/>
      <c r="F632" s="210"/>
    </row>
    <row r="633" spans="2:7" ht="18" customHeight="1">
      <c r="B633" s="191" t="s">
        <v>70</v>
      </c>
      <c r="C633" s="37">
        <v>0</v>
      </c>
      <c r="D633" s="37">
        <v>0</v>
      </c>
      <c r="E633" s="37"/>
      <c r="F633" s="211"/>
      <c r="G633" s="212"/>
    </row>
    <row r="634" spans="2:7" ht="18" customHeight="1">
      <c r="B634" s="191" t="s">
        <v>157</v>
      </c>
      <c r="C634" s="37">
        <v>200</v>
      </c>
      <c r="D634" s="37">
        <v>0</v>
      </c>
      <c r="E634" s="37"/>
      <c r="F634" s="36"/>
    </row>
    <row r="635" spans="2:7" ht="18" customHeight="1">
      <c r="B635" s="191" t="s">
        <v>150</v>
      </c>
      <c r="C635" s="37">
        <v>0</v>
      </c>
      <c r="D635" s="37">
        <v>0</v>
      </c>
      <c r="E635" s="37"/>
      <c r="F635" s="36"/>
    </row>
    <row r="636" spans="2:7" ht="18" customHeight="1">
      <c r="B636" s="192"/>
      <c r="C636" s="37"/>
      <c r="D636" s="86"/>
      <c r="E636" s="37"/>
      <c r="F636" s="36"/>
    </row>
    <row r="637" spans="2:7" ht="18" customHeight="1">
      <c r="B637" s="193"/>
      <c r="C637" s="86"/>
      <c r="D637" s="86"/>
      <c r="E637" s="39"/>
      <c r="F637" s="36"/>
    </row>
    <row r="638" spans="2:7" s="156" customFormat="1" ht="18" customHeight="1" thickBot="1">
      <c r="B638" s="195" t="s">
        <v>27</v>
      </c>
      <c r="C638" s="174">
        <f>SUM(C628:C636)</f>
        <v>103996.55</v>
      </c>
      <c r="D638" s="174">
        <f>SUM(D628:D636)</f>
        <v>231673.27</v>
      </c>
      <c r="E638" s="174"/>
      <c r="F638" s="197"/>
    </row>
    <row r="639" spans="2:7" s="156" customFormat="1" ht="18" customHeight="1" thickTop="1">
      <c r="B639" s="198"/>
      <c r="C639" s="197"/>
      <c r="D639" s="197"/>
      <c r="E639" s="197"/>
      <c r="F639" s="197"/>
    </row>
    <row r="640" spans="2:7" ht="18" customHeight="1">
      <c r="B640" s="206" t="s">
        <v>342</v>
      </c>
    </row>
    <row r="641" spans="2:25" ht="18" customHeight="1">
      <c r="B641" s="203" t="s">
        <v>8</v>
      </c>
      <c r="C641" s="204" t="s">
        <v>58</v>
      </c>
      <c r="D641" s="204" t="s">
        <v>59</v>
      </c>
      <c r="E641" s="204" t="s">
        <v>60</v>
      </c>
      <c r="F641" s="201"/>
    </row>
    <row r="642" spans="2:25" ht="18" customHeight="1">
      <c r="B642" s="188" t="s">
        <v>61</v>
      </c>
      <c r="C642" s="209">
        <f>9751.5+7286.73+2079.17+12917.27+29601.59</f>
        <v>61636.26</v>
      </c>
      <c r="D642" s="209">
        <f>3678.26+9751.5+7286.73+2079.17+12917.27</f>
        <v>35712.929999999993</v>
      </c>
      <c r="E642" s="189"/>
      <c r="F642" s="36"/>
    </row>
    <row r="643" spans="2:25" ht="18" customHeight="1">
      <c r="B643" s="191" t="s">
        <v>62</v>
      </c>
      <c r="C643" s="37">
        <f>24400+62950</f>
        <v>87350</v>
      </c>
      <c r="D643" s="37">
        <f>42255+1600+22700+208070</f>
        <v>274625</v>
      </c>
      <c r="E643" s="37"/>
      <c r="F643" s="210"/>
    </row>
    <row r="644" spans="2:25" ht="18" customHeight="1">
      <c r="B644" s="191" t="s">
        <v>153</v>
      </c>
      <c r="C644" s="37">
        <v>0</v>
      </c>
      <c r="D644" s="37">
        <v>0</v>
      </c>
      <c r="E644" s="37"/>
      <c r="F644" s="36"/>
    </row>
    <row r="645" spans="2:25" ht="18" customHeight="1">
      <c r="B645" s="191" t="s">
        <v>155</v>
      </c>
      <c r="C645" s="37">
        <f>31.74+18.96+558.96</f>
        <v>609.66000000000008</v>
      </c>
      <c r="D645" s="37">
        <v>5022.12</v>
      </c>
      <c r="E645" s="37"/>
      <c r="F645" s="36"/>
    </row>
    <row r="646" spans="2:25" ht="18" customHeight="1">
      <c r="B646" s="191" t="s">
        <v>156</v>
      </c>
      <c r="C646" s="37">
        <f>11511+11850+11624+10686+10686</f>
        <v>56357</v>
      </c>
      <c r="D646" s="37">
        <f>11511+11850+11624+10686+10686</f>
        <v>56357</v>
      </c>
      <c r="E646" s="37"/>
      <c r="F646" s="210"/>
    </row>
    <row r="647" spans="2:25" ht="18" customHeight="1">
      <c r="B647" s="191" t="s">
        <v>70</v>
      </c>
      <c r="C647" s="37">
        <v>0</v>
      </c>
      <c r="D647" s="37">
        <v>0</v>
      </c>
      <c r="E647" s="37"/>
      <c r="F647" s="211"/>
      <c r="G647" s="212"/>
    </row>
    <row r="648" spans="2:25" ht="18" customHeight="1">
      <c r="B648" s="191" t="s">
        <v>157</v>
      </c>
      <c r="C648" s="37">
        <f>80+200</f>
        <v>280</v>
      </c>
      <c r="D648" s="37">
        <v>80</v>
      </c>
      <c r="E648" s="37"/>
      <c r="F648" s="36"/>
    </row>
    <row r="649" spans="2:25" ht="18" customHeight="1">
      <c r="B649" s="191" t="s">
        <v>150</v>
      </c>
      <c r="C649" s="37">
        <v>0</v>
      </c>
      <c r="D649" s="37">
        <v>0</v>
      </c>
      <c r="E649" s="37"/>
      <c r="F649" s="36"/>
    </row>
    <row r="650" spans="2:25" ht="18" customHeight="1">
      <c r="B650" s="192"/>
      <c r="C650" s="37"/>
      <c r="D650" s="86"/>
      <c r="E650" s="37"/>
      <c r="F650" s="36"/>
    </row>
    <row r="651" spans="2:25" ht="18" customHeight="1">
      <c r="B651" s="193"/>
      <c r="C651" s="86"/>
      <c r="D651" s="86"/>
      <c r="E651" s="39"/>
      <c r="F651" s="36"/>
    </row>
    <row r="652" spans="2:25" s="156" customFormat="1" ht="18" customHeight="1" thickBot="1">
      <c r="B652" s="195" t="s">
        <v>27</v>
      </c>
      <c r="C652" s="174">
        <f>SUM(C642:C650)</f>
        <v>206232.92</v>
      </c>
      <c r="D652" s="174">
        <f>SUM(D642:D650)</f>
        <v>371797.05</v>
      </c>
      <c r="E652" s="174"/>
      <c r="F652" s="197"/>
    </row>
    <row r="653" spans="2:25" ht="18" thickTop="1"/>
    <row r="655" spans="2:25">
      <c r="B655" s="199" t="s">
        <v>281</v>
      </c>
      <c r="G655" s="200"/>
      <c r="H655" s="201"/>
      <c r="I655" s="201"/>
      <c r="J655" s="201"/>
    </row>
    <row r="656" spans="2:25">
      <c r="B656" s="199" t="s">
        <v>282</v>
      </c>
      <c r="G656" s="131"/>
      <c r="H656" s="131"/>
      <c r="I656" s="131"/>
      <c r="J656" s="131"/>
      <c r="K656" s="131"/>
      <c r="L656" s="131"/>
      <c r="M656" s="131"/>
      <c r="N656" s="131"/>
      <c r="O656" s="131"/>
      <c r="P656" s="131"/>
      <c r="Q656" s="131"/>
      <c r="R656" s="131"/>
      <c r="S656" s="131"/>
      <c r="T656" s="131"/>
      <c r="U656" s="131"/>
      <c r="V656" s="131"/>
      <c r="W656" s="131"/>
      <c r="X656" s="131"/>
      <c r="Y656" s="131"/>
    </row>
    <row r="657" spans="2:25">
      <c r="B657" s="199"/>
      <c r="G657" s="131"/>
      <c r="H657" s="131"/>
      <c r="I657" s="131"/>
      <c r="J657" s="131"/>
      <c r="K657" s="131"/>
      <c r="L657" s="131"/>
      <c r="M657" s="131"/>
      <c r="N657" s="131"/>
      <c r="O657" s="131"/>
      <c r="P657" s="131"/>
      <c r="Q657" s="131"/>
      <c r="R657" s="131"/>
      <c r="S657" s="131"/>
      <c r="T657" s="131"/>
      <c r="U657" s="131"/>
      <c r="V657" s="131"/>
      <c r="W657" s="131"/>
      <c r="X657" s="131"/>
      <c r="Y657" s="131"/>
    </row>
    <row r="658" spans="2:25">
      <c r="B658" s="199"/>
      <c r="G658" s="131"/>
      <c r="H658" s="131"/>
      <c r="I658" s="131"/>
      <c r="J658" s="131"/>
      <c r="K658" s="131"/>
      <c r="L658" s="131"/>
      <c r="M658" s="131"/>
      <c r="N658" s="131"/>
      <c r="O658" s="131"/>
      <c r="P658" s="131"/>
      <c r="Q658" s="131"/>
      <c r="R658" s="131"/>
      <c r="S658" s="131"/>
      <c r="T658" s="131"/>
      <c r="U658" s="131"/>
      <c r="V658" s="131"/>
      <c r="W658" s="131"/>
      <c r="X658" s="131"/>
      <c r="Y658" s="131"/>
    </row>
    <row r="659" spans="2:25">
      <c r="B659" s="199"/>
      <c r="G659" s="131"/>
      <c r="H659" s="131"/>
      <c r="I659" s="131"/>
      <c r="J659" s="131"/>
      <c r="K659" s="131"/>
      <c r="L659" s="131"/>
      <c r="M659" s="131"/>
      <c r="N659" s="131"/>
      <c r="O659" s="131"/>
      <c r="P659" s="131"/>
      <c r="Q659" s="131"/>
      <c r="R659" s="131"/>
      <c r="S659" s="131"/>
      <c r="T659" s="131"/>
      <c r="U659" s="131"/>
      <c r="V659" s="131"/>
      <c r="W659" s="131"/>
      <c r="X659" s="131"/>
      <c r="Y659" s="131"/>
    </row>
    <row r="660" spans="2:25">
      <c r="B660" s="199"/>
      <c r="G660" s="131"/>
      <c r="H660" s="131"/>
      <c r="I660" s="131"/>
      <c r="J660" s="131"/>
      <c r="K660" s="131"/>
      <c r="L660" s="131"/>
      <c r="M660" s="131"/>
      <c r="N660" s="131"/>
      <c r="O660" s="131"/>
      <c r="P660" s="131"/>
      <c r="Q660" s="131"/>
      <c r="R660" s="131"/>
      <c r="S660" s="131"/>
      <c r="T660" s="131"/>
      <c r="U660" s="131"/>
      <c r="V660" s="131"/>
      <c r="W660" s="131"/>
      <c r="X660" s="131"/>
      <c r="Y660" s="131"/>
    </row>
    <row r="661" spans="2:25">
      <c r="B661" s="199"/>
      <c r="G661" s="131"/>
      <c r="H661" s="131"/>
      <c r="I661" s="131"/>
      <c r="J661" s="131"/>
      <c r="K661" s="131"/>
      <c r="L661" s="131"/>
      <c r="M661" s="131"/>
      <c r="N661" s="131"/>
      <c r="O661" s="131"/>
      <c r="P661" s="131"/>
      <c r="Q661" s="131"/>
      <c r="R661" s="131"/>
      <c r="S661" s="131"/>
      <c r="T661" s="131"/>
      <c r="U661" s="131"/>
      <c r="V661" s="131"/>
      <c r="W661" s="131"/>
      <c r="X661" s="131"/>
      <c r="Y661" s="131"/>
    </row>
    <row r="662" spans="2:25">
      <c r="B662" s="199"/>
      <c r="G662" s="131"/>
      <c r="H662" s="131"/>
      <c r="I662" s="131"/>
      <c r="J662" s="131"/>
      <c r="K662" s="131"/>
      <c r="L662" s="131"/>
      <c r="M662" s="131"/>
      <c r="N662" s="131"/>
      <c r="O662" s="131"/>
      <c r="P662" s="131"/>
      <c r="Q662" s="131"/>
      <c r="R662" s="131"/>
      <c r="S662" s="131"/>
      <c r="T662" s="131"/>
      <c r="U662" s="131"/>
      <c r="V662" s="131"/>
      <c r="W662" s="131"/>
      <c r="X662" s="131"/>
      <c r="Y662" s="131"/>
    </row>
    <row r="663" spans="2:25">
      <c r="B663" s="199"/>
      <c r="G663" s="131"/>
      <c r="H663" s="131"/>
      <c r="I663" s="131"/>
      <c r="J663" s="131"/>
      <c r="K663" s="131"/>
      <c r="L663" s="131"/>
      <c r="M663" s="131"/>
      <c r="N663" s="131"/>
      <c r="O663" s="131"/>
      <c r="P663" s="131"/>
      <c r="Q663" s="131"/>
      <c r="R663" s="131"/>
      <c r="S663" s="131"/>
      <c r="T663" s="131"/>
      <c r="U663" s="131"/>
      <c r="V663" s="131"/>
      <c r="W663" s="131"/>
      <c r="X663" s="131"/>
      <c r="Y663" s="131"/>
    </row>
    <row r="664" spans="2:25">
      <c r="B664" s="199"/>
      <c r="G664" s="131"/>
      <c r="H664" s="131"/>
      <c r="I664" s="131"/>
      <c r="J664" s="131"/>
      <c r="K664" s="131"/>
      <c r="L664" s="131"/>
      <c r="M664" s="131"/>
      <c r="N664" s="131"/>
      <c r="O664" s="131"/>
      <c r="P664" s="131"/>
      <c r="Q664" s="131"/>
      <c r="R664" s="131"/>
      <c r="S664" s="131"/>
      <c r="T664" s="131"/>
      <c r="U664" s="131"/>
      <c r="V664" s="131"/>
      <c r="W664" s="131"/>
      <c r="X664" s="131"/>
      <c r="Y664" s="131"/>
    </row>
    <row r="665" spans="2:25">
      <c r="B665" s="199"/>
      <c r="G665" s="131"/>
      <c r="H665" s="131"/>
      <c r="I665" s="131"/>
      <c r="J665" s="131"/>
      <c r="K665" s="131"/>
      <c r="L665" s="131"/>
      <c r="M665" s="131"/>
      <c r="N665" s="131"/>
      <c r="O665" s="131"/>
      <c r="P665" s="131"/>
      <c r="Q665" s="131"/>
      <c r="R665" s="131"/>
      <c r="S665" s="131"/>
      <c r="T665" s="131"/>
      <c r="U665" s="131"/>
      <c r="V665" s="131"/>
      <c r="W665" s="131"/>
      <c r="X665" s="131"/>
      <c r="Y665" s="131"/>
    </row>
    <row r="666" spans="2:25">
      <c r="B666" s="199"/>
      <c r="G666" s="131"/>
      <c r="H666" s="131"/>
      <c r="I666" s="131"/>
      <c r="J666" s="131"/>
      <c r="K666" s="131"/>
      <c r="L666" s="131"/>
      <c r="M666" s="131"/>
      <c r="N666" s="131"/>
      <c r="O666" s="131"/>
      <c r="P666" s="131"/>
      <c r="Q666" s="131"/>
      <c r="R666" s="131"/>
      <c r="S666" s="131"/>
      <c r="T666" s="131"/>
      <c r="U666" s="131"/>
      <c r="V666" s="131"/>
      <c r="W666" s="131"/>
      <c r="X666" s="131"/>
      <c r="Y666" s="131"/>
    </row>
    <row r="667" spans="2:25">
      <c r="B667" s="199"/>
      <c r="G667" s="131"/>
      <c r="H667" s="131"/>
      <c r="I667" s="131"/>
      <c r="J667" s="131"/>
      <c r="K667" s="131"/>
      <c r="L667" s="131"/>
      <c r="M667" s="131"/>
      <c r="N667" s="131"/>
      <c r="O667" s="131"/>
      <c r="P667" s="131"/>
      <c r="Q667" s="131"/>
      <c r="R667" s="131"/>
      <c r="S667" s="131"/>
      <c r="T667" s="131"/>
      <c r="U667" s="131"/>
      <c r="V667" s="131"/>
      <c r="W667" s="131"/>
      <c r="X667" s="131"/>
      <c r="Y667" s="131"/>
    </row>
    <row r="668" spans="2:25">
      <c r="B668" s="199"/>
      <c r="G668" s="131"/>
      <c r="H668" s="131"/>
      <c r="I668" s="131"/>
      <c r="J668" s="131"/>
      <c r="K668" s="131"/>
      <c r="L668" s="131"/>
      <c r="M668" s="131"/>
      <c r="N668" s="131"/>
      <c r="O668" s="131"/>
      <c r="P668" s="131"/>
      <c r="Q668" s="131"/>
      <c r="R668" s="131"/>
      <c r="S668" s="131"/>
      <c r="T668" s="131"/>
      <c r="U668" s="131"/>
      <c r="V668" s="131"/>
      <c r="W668" s="131"/>
      <c r="X668" s="131"/>
      <c r="Y668" s="131"/>
    </row>
    <row r="669" spans="2:25">
      <c r="B669" s="199"/>
      <c r="G669" s="131"/>
      <c r="H669" s="131"/>
      <c r="I669" s="131"/>
      <c r="J669" s="131"/>
      <c r="K669" s="131"/>
      <c r="L669" s="131"/>
      <c r="M669" s="131"/>
      <c r="N669" s="131"/>
      <c r="O669" s="131"/>
      <c r="P669" s="131"/>
      <c r="Q669" s="131"/>
      <c r="R669" s="131"/>
      <c r="S669" s="131"/>
      <c r="T669" s="131"/>
      <c r="U669" s="131"/>
      <c r="V669" s="131"/>
      <c r="W669" s="131"/>
      <c r="X669" s="131"/>
      <c r="Y669" s="131"/>
    </row>
    <row r="670" spans="2:25">
      <c r="B670" s="199"/>
      <c r="G670" s="131"/>
      <c r="H670" s="131"/>
      <c r="I670" s="131"/>
      <c r="J670" s="131"/>
      <c r="K670" s="131"/>
      <c r="L670" s="131"/>
      <c r="M670" s="131"/>
      <c r="N670" s="131"/>
      <c r="O670" s="131"/>
      <c r="P670" s="131"/>
      <c r="Q670" s="131"/>
      <c r="R670" s="131"/>
      <c r="S670" s="131"/>
      <c r="T670" s="131"/>
      <c r="U670" s="131"/>
      <c r="V670" s="131"/>
      <c r="W670" s="131"/>
      <c r="X670" s="131"/>
      <c r="Y670" s="131"/>
    </row>
    <row r="674" spans="2:6">
      <c r="B674" s="202" t="s">
        <v>323</v>
      </c>
      <c r="F674" s="110"/>
    </row>
    <row r="675" spans="2:6" ht="17.25" customHeight="1">
      <c r="B675" s="203" t="s">
        <v>8</v>
      </c>
      <c r="C675" s="204" t="s">
        <v>324</v>
      </c>
      <c r="D675" s="204" t="s">
        <v>57</v>
      </c>
      <c r="E675" s="205" t="s">
        <v>325</v>
      </c>
      <c r="F675" s="201"/>
    </row>
    <row r="676" spans="2:6" ht="19.5" customHeight="1">
      <c r="B676" s="188" t="s">
        <v>42</v>
      </c>
      <c r="C676" s="189">
        <f>30549</f>
        <v>30549</v>
      </c>
      <c r="D676" s="189">
        <v>24384.880000000001</v>
      </c>
      <c r="E676" s="190">
        <f>SUM(C676+D676)</f>
        <v>54933.880000000005</v>
      </c>
      <c r="F676" s="36"/>
    </row>
    <row r="677" spans="2:6" ht="17.25" customHeight="1">
      <c r="B677" s="191" t="s">
        <v>43</v>
      </c>
      <c r="C677" s="37">
        <f>9551.34</f>
        <v>9551.34</v>
      </c>
      <c r="D677" s="37">
        <v>32163.98</v>
      </c>
      <c r="E677" s="37">
        <f t="shared" ref="E677:E701" si="5">SUM(C677+D677)</f>
        <v>41715.32</v>
      </c>
      <c r="F677" s="36"/>
    </row>
    <row r="678" spans="2:6" ht="17.25" customHeight="1">
      <c r="B678" s="191" t="s">
        <v>44</v>
      </c>
      <c r="C678" s="37">
        <v>6372</v>
      </c>
      <c r="D678" s="37">
        <v>2640</v>
      </c>
      <c r="E678" s="37">
        <f t="shared" si="5"/>
        <v>9012</v>
      </c>
      <c r="F678" s="36"/>
    </row>
    <row r="679" spans="2:6" ht="17.25" customHeight="1">
      <c r="B679" s="191" t="s">
        <v>188</v>
      </c>
      <c r="C679" s="37">
        <v>6230</v>
      </c>
      <c r="D679" s="37">
        <v>13468</v>
      </c>
      <c r="E679" s="37">
        <f t="shared" si="5"/>
        <v>19698</v>
      </c>
      <c r="F679" s="36"/>
    </row>
    <row r="680" spans="2:6" ht="17.25" customHeight="1">
      <c r="B680" s="191" t="s">
        <v>73</v>
      </c>
      <c r="C680" s="37">
        <v>0</v>
      </c>
      <c r="D680" s="37">
        <v>0</v>
      </c>
      <c r="E680" s="37">
        <f t="shared" si="5"/>
        <v>0</v>
      </c>
      <c r="F680" s="36"/>
    </row>
    <row r="681" spans="2:6" ht="17.25" customHeight="1">
      <c r="B681" s="191" t="s">
        <v>46</v>
      </c>
      <c r="C681" s="37">
        <v>289</v>
      </c>
      <c r="D681" s="37">
        <v>334</v>
      </c>
      <c r="E681" s="37">
        <f t="shared" si="5"/>
        <v>623</v>
      </c>
      <c r="F681" s="36"/>
    </row>
    <row r="682" spans="2:6" ht="17.25" customHeight="1">
      <c r="B682" s="191" t="s">
        <v>75</v>
      </c>
      <c r="C682" s="37">
        <v>60</v>
      </c>
      <c r="D682" s="37">
        <v>0</v>
      </c>
      <c r="E682" s="37">
        <f t="shared" si="5"/>
        <v>60</v>
      </c>
      <c r="F682" s="36"/>
    </row>
    <row r="683" spans="2:6" ht="17.25" customHeight="1">
      <c r="B683" s="191" t="s">
        <v>64</v>
      </c>
      <c r="C683" s="37">
        <v>330</v>
      </c>
      <c r="D683" s="37">
        <v>0</v>
      </c>
      <c r="E683" s="37">
        <f t="shared" si="5"/>
        <v>330</v>
      </c>
      <c r="F683" s="36"/>
    </row>
    <row r="684" spans="2:6" ht="17.25" customHeight="1">
      <c r="B684" s="191" t="s">
        <v>65</v>
      </c>
      <c r="C684" s="37">
        <v>1200</v>
      </c>
      <c r="D684" s="37">
        <v>100</v>
      </c>
      <c r="E684" s="37">
        <f t="shared" si="5"/>
        <v>1300</v>
      </c>
      <c r="F684" s="36"/>
    </row>
    <row r="685" spans="2:6" ht="17.25" customHeight="1">
      <c r="B685" s="191" t="s">
        <v>160</v>
      </c>
      <c r="C685" s="37">
        <v>0</v>
      </c>
      <c r="D685" s="37">
        <v>0</v>
      </c>
      <c r="E685" s="37">
        <f t="shared" si="5"/>
        <v>0</v>
      </c>
      <c r="F685" s="36"/>
    </row>
    <row r="686" spans="2:6" ht="17.25" customHeight="1">
      <c r="B686" s="191" t="s">
        <v>74</v>
      </c>
      <c r="C686" s="37">
        <v>23200</v>
      </c>
      <c r="D686" s="37">
        <v>3800</v>
      </c>
      <c r="E686" s="37">
        <f t="shared" si="5"/>
        <v>27000</v>
      </c>
      <c r="F686" s="36"/>
    </row>
    <row r="687" spans="2:6" ht="17.25" customHeight="1">
      <c r="B687" s="191" t="s">
        <v>55</v>
      </c>
      <c r="C687" s="37">
        <v>175</v>
      </c>
      <c r="D687" s="37">
        <v>125</v>
      </c>
      <c r="E687" s="37">
        <f t="shared" si="5"/>
        <v>300</v>
      </c>
      <c r="F687" s="36"/>
    </row>
    <row r="688" spans="2:6" ht="17.25" customHeight="1">
      <c r="B688" s="191" t="s">
        <v>56</v>
      </c>
      <c r="C688" s="37">
        <v>1560</v>
      </c>
      <c r="D688" s="37">
        <v>600</v>
      </c>
      <c r="E688" s="37">
        <f t="shared" si="5"/>
        <v>2160</v>
      </c>
      <c r="F688" s="36"/>
    </row>
    <row r="689" spans="2:6" ht="17.25" customHeight="1">
      <c r="B689" s="192" t="s">
        <v>53</v>
      </c>
      <c r="C689" s="37">
        <v>62737.68</v>
      </c>
      <c r="D689" s="37">
        <v>5247.63</v>
      </c>
      <c r="E689" s="37">
        <f t="shared" si="5"/>
        <v>67985.31</v>
      </c>
      <c r="F689" s="36"/>
    </row>
    <row r="690" spans="2:6" ht="17.25" customHeight="1">
      <c r="B690" s="192" t="s">
        <v>77</v>
      </c>
      <c r="C690" s="37">
        <f>2000</f>
        <v>2000</v>
      </c>
      <c r="D690" s="37">
        <v>15000</v>
      </c>
      <c r="E690" s="37">
        <f t="shared" si="5"/>
        <v>17000</v>
      </c>
      <c r="F690" s="36"/>
    </row>
    <row r="691" spans="2:6" ht="17.25" customHeight="1">
      <c r="B691" s="192" t="s">
        <v>76</v>
      </c>
      <c r="C691" s="37">
        <v>324</v>
      </c>
      <c r="D691" s="37">
        <v>0</v>
      </c>
      <c r="E691" s="37">
        <f t="shared" si="5"/>
        <v>324</v>
      </c>
      <c r="F691" s="36"/>
    </row>
    <row r="692" spans="2:6" ht="17.25" customHeight="1">
      <c r="B692" s="192" t="s">
        <v>158</v>
      </c>
      <c r="C692" s="37">
        <v>229026.9</v>
      </c>
      <c r="D692" s="37">
        <v>48058.45</v>
      </c>
      <c r="E692" s="37">
        <f t="shared" si="5"/>
        <v>277085.34999999998</v>
      </c>
      <c r="F692" s="36"/>
    </row>
    <row r="693" spans="2:6" ht="17.25" customHeight="1">
      <c r="B693" s="191" t="s">
        <v>66</v>
      </c>
      <c r="C693" s="37">
        <v>3815904.92</v>
      </c>
      <c r="D693" s="37">
        <v>765984.95</v>
      </c>
      <c r="E693" s="37">
        <f t="shared" si="5"/>
        <v>4581889.87</v>
      </c>
      <c r="F693" s="36"/>
    </row>
    <row r="694" spans="2:6" ht="17.25" customHeight="1">
      <c r="B694" s="191" t="s">
        <v>67</v>
      </c>
      <c r="C694" s="37">
        <v>941890.62</v>
      </c>
      <c r="D694" s="37">
        <v>218450.15</v>
      </c>
      <c r="E694" s="37">
        <f t="shared" si="5"/>
        <v>1160340.77</v>
      </c>
      <c r="F694" s="36"/>
    </row>
    <row r="695" spans="2:6" ht="17.25" customHeight="1">
      <c r="B695" s="38" t="s">
        <v>48</v>
      </c>
      <c r="C695" s="111">
        <v>41596.78</v>
      </c>
      <c r="D695" s="37">
        <v>27032.14</v>
      </c>
      <c r="E695" s="37">
        <f t="shared" si="5"/>
        <v>68628.92</v>
      </c>
      <c r="F695" s="36"/>
    </row>
    <row r="696" spans="2:6" ht="17.25" customHeight="1">
      <c r="B696" s="191" t="s">
        <v>49</v>
      </c>
      <c r="C696" s="37">
        <v>0</v>
      </c>
      <c r="D696" s="37">
        <v>0</v>
      </c>
      <c r="E696" s="37">
        <f t="shared" si="5"/>
        <v>0</v>
      </c>
      <c r="F696" s="36"/>
    </row>
    <row r="697" spans="2:6" ht="17.25" customHeight="1">
      <c r="B697" s="191" t="s">
        <v>50</v>
      </c>
      <c r="C697" s="37">
        <v>2020188.25</v>
      </c>
      <c r="D697" s="37">
        <v>393534.17</v>
      </c>
      <c r="E697" s="37">
        <f t="shared" si="5"/>
        <v>2413722.42</v>
      </c>
      <c r="F697" s="36"/>
    </row>
    <row r="698" spans="2:6" ht="17.25" customHeight="1">
      <c r="B698" s="192" t="s">
        <v>54</v>
      </c>
      <c r="C698" s="37">
        <v>18106.79</v>
      </c>
      <c r="D698" s="37">
        <v>16090.85</v>
      </c>
      <c r="E698" s="37">
        <f t="shared" si="5"/>
        <v>34197.64</v>
      </c>
      <c r="F698" s="36"/>
    </row>
    <row r="699" spans="2:6" ht="17.25" customHeight="1">
      <c r="B699" s="191" t="s">
        <v>51</v>
      </c>
      <c r="C699" s="37">
        <v>22018.720000000001</v>
      </c>
      <c r="D699" s="37">
        <v>0</v>
      </c>
      <c r="E699" s="37">
        <f t="shared" si="5"/>
        <v>22018.720000000001</v>
      </c>
      <c r="F699" s="36"/>
    </row>
    <row r="700" spans="2:6" ht="17.25" customHeight="1">
      <c r="B700" s="191" t="s">
        <v>47</v>
      </c>
      <c r="C700" s="37">
        <v>171588</v>
      </c>
      <c r="D700" s="37">
        <v>38830</v>
      </c>
      <c r="E700" s="37">
        <f t="shared" si="5"/>
        <v>210418</v>
      </c>
      <c r="F700" s="36"/>
    </row>
    <row r="701" spans="2:6" ht="17.25" customHeight="1">
      <c r="B701" s="191" t="s">
        <v>52</v>
      </c>
      <c r="C701" s="37">
        <v>10945447</v>
      </c>
      <c r="D701" s="37">
        <v>0</v>
      </c>
      <c r="E701" s="37">
        <f t="shared" si="5"/>
        <v>10945447</v>
      </c>
      <c r="F701" s="36"/>
    </row>
    <row r="702" spans="2:6" ht="17.25" customHeight="1">
      <c r="B702" s="193"/>
      <c r="C702" s="86"/>
      <c r="D702" s="194"/>
      <c r="E702" s="194"/>
      <c r="F702" s="36"/>
    </row>
    <row r="703" spans="2:6" s="156" customFormat="1" ht="17.25" customHeight="1" thickBot="1">
      <c r="B703" s="195" t="s">
        <v>165</v>
      </c>
      <c r="C703" s="174">
        <f>SUM(C676:C702)</f>
        <v>18350346</v>
      </c>
      <c r="D703" s="174">
        <f>SUM(D676:D702)</f>
        <v>1605844.1999999997</v>
      </c>
      <c r="E703" s="196">
        <f>SUM(E676:E702)</f>
        <v>19956190.200000003</v>
      </c>
      <c r="F703" s="197"/>
    </row>
    <row r="704" spans="2:6" s="156" customFormat="1" ht="17.25" customHeight="1" thickTop="1">
      <c r="B704" s="198"/>
      <c r="D704" s="197"/>
      <c r="E704" s="197"/>
      <c r="F704" s="197"/>
    </row>
    <row r="705" spans="2:25" s="156" customFormat="1" ht="17.25" customHeight="1">
      <c r="B705" s="198"/>
      <c r="C705" s="197"/>
      <c r="D705" s="197"/>
      <c r="E705" s="197"/>
      <c r="F705" s="197"/>
    </row>
    <row r="706" spans="2:25" s="156" customFormat="1" ht="17.25" customHeight="1">
      <c r="B706" s="198"/>
      <c r="C706" s="197"/>
      <c r="D706" s="197"/>
      <c r="E706" s="197"/>
      <c r="F706" s="197"/>
    </row>
    <row r="707" spans="2:25">
      <c r="B707" s="199" t="s">
        <v>269</v>
      </c>
      <c r="G707" s="200"/>
      <c r="H707" s="201"/>
      <c r="I707" s="201"/>
      <c r="J707" s="201"/>
    </row>
    <row r="708" spans="2:25">
      <c r="B708" s="199" t="s">
        <v>283</v>
      </c>
      <c r="G708" s="131"/>
      <c r="H708" s="131"/>
      <c r="I708" s="131"/>
      <c r="J708" s="131"/>
      <c r="K708" s="131"/>
      <c r="L708" s="131"/>
      <c r="M708" s="131"/>
      <c r="N708" s="131"/>
      <c r="O708" s="131"/>
      <c r="P708" s="131"/>
      <c r="Q708" s="131"/>
      <c r="R708" s="131"/>
      <c r="S708" s="131"/>
      <c r="T708" s="131"/>
      <c r="U708" s="131"/>
      <c r="V708" s="131"/>
      <c r="W708" s="131"/>
      <c r="X708" s="131"/>
      <c r="Y708" s="131"/>
    </row>
    <row r="709" spans="2:25" s="156" customFormat="1" ht="17.25" customHeight="1">
      <c r="B709" s="198"/>
      <c r="C709" s="197"/>
      <c r="D709" s="197"/>
      <c r="E709" s="197"/>
      <c r="F709" s="197"/>
    </row>
    <row r="710" spans="2:25" s="156" customFormat="1" ht="17.25" customHeight="1">
      <c r="B710" s="198"/>
      <c r="C710" s="197"/>
      <c r="D710" s="197"/>
      <c r="E710" s="197"/>
      <c r="F710" s="197"/>
    </row>
    <row r="711" spans="2:25" s="156" customFormat="1" ht="17.25" customHeight="1">
      <c r="B711" s="198"/>
      <c r="C711" s="197"/>
      <c r="D711" s="197"/>
      <c r="E711" s="197"/>
      <c r="F711" s="197"/>
    </row>
    <row r="712" spans="2:25" s="156" customFormat="1" ht="17.25" customHeight="1">
      <c r="B712" s="198"/>
      <c r="C712" s="197"/>
      <c r="D712" s="197"/>
      <c r="E712" s="197"/>
      <c r="F712" s="197"/>
    </row>
    <row r="713" spans="2:25" s="156" customFormat="1" ht="17.25" customHeight="1">
      <c r="B713" s="198"/>
      <c r="C713" s="197"/>
      <c r="D713" s="197"/>
      <c r="E713" s="197"/>
      <c r="F713" s="197"/>
    </row>
    <row r="714" spans="2:25" s="156" customFormat="1" ht="17.25" customHeight="1">
      <c r="B714" s="198"/>
      <c r="C714" s="197"/>
      <c r="D714" s="197"/>
      <c r="E714" s="197"/>
      <c r="F714" s="197"/>
    </row>
    <row r="715" spans="2:25" s="156" customFormat="1" ht="17.25" customHeight="1">
      <c r="B715" s="198"/>
      <c r="C715" s="197"/>
      <c r="D715" s="197"/>
      <c r="E715" s="197"/>
      <c r="F715" s="197"/>
    </row>
    <row r="716" spans="2:25" s="156" customFormat="1" ht="17.25" customHeight="1">
      <c r="B716" s="198"/>
      <c r="C716" s="197"/>
      <c r="D716" s="197"/>
      <c r="E716" s="197"/>
      <c r="F716" s="197"/>
    </row>
    <row r="717" spans="2:25" s="156" customFormat="1" ht="17.25" customHeight="1">
      <c r="B717" s="198"/>
      <c r="C717" s="197"/>
      <c r="D717" s="197"/>
      <c r="E717" s="197"/>
      <c r="F717" s="197"/>
    </row>
    <row r="718" spans="2:25" s="156" customFormat="1" ht="17.25" customHeight="1">
      <c r="B718" s="198"/>
      <c r="C718" s="197"/>
      <c r="D718" s="197"/>
      <c r="E718" s="197"/>
      <c r="F718" s="197"/>
    </row>
    <row r="719" spans="2:25" s="156" customFormat="1" ht="17.25" customHeight="1">
      <c r="B719" s="198"/>
      <c r="C719" s="197"/>
      <c r="D719" s="197"/>
      <c r="E719" s="197"/>
      <c r="F719" s="197"/>
    </row>
    <row r="720" spans="2:25" s="156" customFormat="1" ht="17.25" customHeight="1">
      <c r="B720" s="198"/>
      <c r="C720" s="197"/>
      <c r="D720" s="197"/>
      <c r="E720" s="197"/>
      <c r="F720" s="197"/>
    </row>
    <row r="721" spans="2:10" s="156" customFormat="1" ht="17.25" customHeight="1">
      <c r="B721" s="198"/>
      <c r="C721" s="197"/>
      <c r="D721" s="197"/>
      <c r="E721" s="197"/>
      <c r="F721" s="197"/>
    </row>
    <row r="722" spans="2:10" s="156" customFormat="1" ht="17.25" customHeight="1">
      <c r="B722" s="198"/>
      <c r="C722" s="197"/>
      <c r="D722" s="197"/>
      <c r="E722" s="197"/>
      <c r="F722" s="197"/>
    </row>
    <row r="723" spans="2:10" ht="20.25" customHeight="1">
      <c r="B723" s="206" t="s">
        <v>326</v>
      </c>
      <c r="H723" s="131"/>
      <c r="I723" s="131"/>
      <c r="J723" s="131"/>
    </row>
    <row r="724" spans="2:10" ht="18" customHeight="1">
      <c r="B724" s="203" t="s">
        <v>8</v>
      </c>
      <c r="C724" s="204" t="s">
        <v>58</v>
      </c>
      <c r="D724" s="204" t="s">
        <v>59</v>
      </c>
      <c r="E724" s="204" t="s">
        <v>60</v>
      </c>
      <c r="F724" s="201"/>
      <c r="H724" s="131"/>
      <c r="I724" s="131"/>
      <c r="J724" s="131"/>
    </row>
    <row r="725" spans="2:10">
      <c r="B725" s="38" t="s">
        <v>331</v>
      </c>
      <c r="C725" s="86"/>
      <c r="D725" s="86">
        <v>148000</v>
      </c>
      <c r="E725" s="37"/>
      <c r="F725" s="110"/>
      <c r="H725" s="131"/>
      <c r="I725" s="131"/>
      <c r="J725" s="131"/>
    </row>
    <row r="726" spans="2:10">
      <c r="B726" s="38" t="s">
        <v>330</v>
      </c>
      <c r="C726" s="37"/>
      <c r="D726" s="37"/>
      <c r="E726" s="37"/>
      <c r="F726" s="110"/>
      <c r="H726" s="131"/>
      <c r="I726" s="131"/>
      <c r="J726" s="131"/>
    </row>
    <row r="727" spans="2:10" ht="18" customHeight="1">
      <c r="B727" s="282"/>
      <c r="C727" s="37"/>
      <c r="D727" s="37"/>
      <c r="E727" s="37"/>
      <c r="F727" s="36"/>
      <c r="H727" s="131"/>
      <c r="I727" s="131"/>
      <c r="J727" s="131"/>
    </row>
    <row r="728" spans="2:10" ht="18" customHeight="1">
      <c r="B728" s="193"/>
      <c r="C728" s="86"/>
      <c r="D728" s="86"/>
      <c r="E728" s="39"/>
      <c r="F728" s="36"/>
      <c r="H728" s="131"/>
      <c r="I728" s="131"/>
      <c r="J728" s="131"/>
    </row>
    <row r="729" spans="2:10" s="156" customFormat="1" ht="20.25" customHeight="1" thickBot="1">
      <c r="B729" s="195" t="s">
        <v>166</v>
      </c>
      <c r="C729" s="174">
        <f>SUM(C728:C728)</f>
        <v>0</v>
      </c>
      <c r="D729" s="174">
        <f>SUM(D725:D728)</f>
        <v>148000</v>
      </c>
      <c r="E729" s="174"/>
      <c r="F729" s="197"/>
    </row>
    <row r="730" spans="2:10" s="156" customFormat="1" ht="20.25" customHeight="1" thickTop="1">
      <c r="B730" s="198"/>
      <c r="C730" s="197"/>
      <c r="D730" s="197"/>
      <c r="E730" s="197"/>
      <c r="F730" s="197"/>
    </row>
    <row r="731" spans="2:10" ht="20.25" customHeight="1">
      <c r="B731" s="206" t="s">
        <v>327</v>
      </c>
      <c r="H731" s="131"/>
      <c r="I731" s="131"/>
      <c r="J731" s="131"/>
    </row>
    <row r="732" spans="2:10" ht="18" customHeight="1">
      <c r="B732" s="203" t="s">
        <v>8</v>
      </c>
      <c r="C732" s="204" t="s">
        <v>58</v>
      </c>
      <c r="D732" s="204" t="s">
        <v>59</v>
      </c>
      <c r="E732" s="204" t="s">
        <v>60</v>
      </c>
      <c r="F732" s="201"/>
      <c r="H732" s="131"/>
      <c r="I732" s="131"/>
      <c r="J732" s="131"/>
    </row>
    <row r="733" spans="2:10">
      <c r="B733" s="207" t="s">
        <v>163</v>
      </c>
      <c r="C733" s="37">
        <v>0</v>
      </c>
      <c r="D733" s="37">
        <v>5000</v>
      </c>
      <c r="E733" s="37"/>
      <c r="F733" s="110"/>
      <c r="H733" s="131"/>
      <c r="I733" s="131"/>
      <c r="J733" s="131"/>
    </row>
    <row r="734" spans="2:10">
      <c r="B734" s="207" t="s">
        <v>164</v>
      </c>
      <c r="C734" s="37">
        <v>0</v>
      </c>
      <c r="D734" s="37">
        <v>28000</v>
      </c>
      <c r="E734" s="37"/>
      <c r="F734" s="110"/>
      <c r="H734" s="131"/>
      <c r="I734" s="131"/>
      <c r="J734" s="131"/>
    </row>
    <row r="735" spans="2:10" ht="18" customHeight="1">
      <c r="B735" s="207" t="s">
        <v>182</v>
      </c>
      <c r="C735" s="37">
        <v>0</v>
      </c>
      <c r="D735" s="37">
        <v>20000</v>
      </c>
      <c r="E735" s="37"/>
      <c r="F735" s="36"/>
      <c r="H735" s="131"/>
      <c r="I735" s="131"/>
      <c r="J735" s="131"/>
    </row>
    <row r="736" spans="2:10" ht="18" customHeight="1">
      <c r="B736" s="207" t="s">
        <v>200</v>
      </c>
      <c r="C736" s="37">
        <v>0</v>
      </c>
      <c r="D736" s="37">
        <v>133831.48000000001</v>
      </c>
      <c r="E736" s="37"/>
      <c r="F736" s="36"/>
      <c r="H736" s="131"/>
      <c r="I736" s="131"/>
      <c r="J736" s="131"/>
    </row>
    <row r="737" spans="2:10">
      <c r="B737" s="207" t="s">
        <v>201</v>
      </c>
      <c r="C737" s="37"/>
      <c r="D737" s="37">
        <v>98000</v>
      </c>
      <c r="E737" s="37"/>
      <c r="F737" s="110"/>
      <c r="H737" s="208"/>
      <c r="I737" s="131"/>
      <c r="J737" s="131"/>
    </row>
    <row r="738" spans="2:10" ht="18" customHeight="1">
      <c r="B738" s="207" t="s">
        <v>202</v>
      </c>
      <c r="C738" s="37"/>
      <c r="D738" s="37">
        <v>277000</v>
      </c>
      <c r="E738" s="37"/>
      <c r="F738" s="36"/>
      <c r="H738" s="131"/>
      <c r="I738" s="131"/>
      <c r="J738" s="131"/>
    </row>
    <row r="739" spans="2:10" ht="18" customHeight="1">
      <c r="B739" s="207" t="s">
        <v>203</v>
      </c>
      <c r="C739" s="37"/>
      <c r="D739" s="37">
        <v>198000</v>
      </c>
      <c r="E739" s="39"/>
      <c r="F739" s="36"/>
      <c r="H739" s="131"/>
      <c r="I739" s="131"/>
      <c r="J739" s="131"/>
    </row>
    <row r="740" spans="2:10" ht="18" customHeight="1">
      <c r="B740" s="207" t="s">
        <v>204</v>
      </c>
      <c r="C740" s="86"/>
      <c r="D740" s="86">
        <v>228000</v>
      </c>
      <c r="E740" s="39"/>
      <c r="F740" s="36"/>
      <c r="H740" s="131"/>
      <c r="I740" s="131"/>
      <c r="J740" s="131"/>
    </row>
    <row r="741" spans="2:10" ht="18" customHeight="1">
      <c r="B741" s="207" t="s">
        <v>205</v>
      </c>
      <c r="C741" s="37"/>
      <c r="D741" s="37">
        <v>199000</v>
      </c>
      <c r="E741" s="39"/>
      <c r="F741" s="36"/>
      <c r="H741" s="131"/>
      <c r="I741" s="131"/>
      <c r="J741" s="131"/>
    </row>
    <row r="742" spans="2:10" ht="18" customHeight="1">
      <c r="B742" s="38" t="s">
        <v>236</v>
      </c>
      <c r="C742" s="86"/>
      <c r="D742" s="37">
        <v>166000</v>
      </c>
      <c r="E742" s="39"/>
      <c r="F742" s="36"/>
      <c r="H742" s="131"/>
      <c r="I742" s="131"/>
      <c r="J742" s="131"/>
    </row>
    <row r="743" spans="2:10" ht="18" customHeight="1">
      <c r="B743" s="38" t="s">
        <v>237</v>
      </c>
      <c r="C743" s="37"/>
      <c r="D743" s="37">
        <v>445000</v>
      </c>
      <c r="E743" s="39"/>
      <c r="F743" s="36"/>
      <c r="H743" s="131"/>
      <c r="I743" s="131"/>
      <c r="J743" s="131"/>
    </row>
    <row r="744" spans="2:10" ht="18" customHeight="1">
      <c r="B744" s="38" t="s">
        <v>238</v>
      </c>
      <c r="C744" s="37"/>
      <c r="D744" s="37">
        <v>39000</v>
      </c>
      <c r="E744" s="39"/>
      <c r="F744" s="36"/>
      <c r="H744" s="131"/>
      <c r="I744" s="131"/>
      <c r="J744" s="131"/>
    </row>
    <row r="745" spans="2:10" ht="18" customHeight="1">
      <c r="B745" s="38" t="s">
        <v>272</v>
      </c>
      <c r="C745" s="86"/>
      <c r="D745" s="86">
        <v>521617</v>
      </c>
      <c r="E745" s="39"/>
      <c r="F745" s="36"/>
      <c r="H745" s="131"/>
      <c r="I745" s="131"/>
      <c r="J745" s="131"/>
    </row>
    <row r="746" spans="2:10" ht="18" customHeight="1">
      <c r="B746" s="38" t="s">
        <v>271</v>
      </c>
      <c r="C746" s="37"/>
      <c r="D746" s="37"/>
      <c r="E746" s="39"/>
      <c r="F746" s="36"/>
      <c r="H746" s="131"/>
      <c r="I746" s="131"/>
      <c r="J746" s="131"/>
    </row>
    <row r="747" spans="2:10">
      <c r="B747" s="207" t="s">
        <v>296</v>
      </c>
      <c r="C747" s="86"/>
      <c r="D747" s="86">
        <v>363000</v>
      </c>
      <c r="E747" s="37"/>
      <c r="F747" s="110"/>
      <c r="H747" s="131"/>
      <c r="I747" s="131"/>
      <c r="J747" s="131"/>
    </row>
    <row r="748" spans="2:10">
      <c r="B748" s="38" t="s">
        <v>297</v>
      </c>
      <c r="C748" s="37"/>
      <c r="D748" s="37"/>
      <c r="E748" s="37"/>
      <c r="F748" s="110"/>
      <c r="H748" s="131"/>
      <c r="I748" s="131"/>
      <c r="J748" s="131"/>
    </row>
    <row r="749" spans="2:10" ht="18" customHeight="1">
      <c r="B749" s="38" t="s">
        <v>298</v>
      </c>
      <c r="C749" s="37"/>
      <c r="D749" s="37">
        <v>873675.86</v>
      </c>
      <c r="E749" s="37"/>
      <c r="F749" s="36"/>
      <c r="H749" s="131"/>
      <c r="I749" s="131"/>
      <c r="J749" s="131"/>
    </row>
    <row r="750" spans="2:10" ht="18" customHeight="1">
      <c r="B750" s="38" t="s">
        <v>299</v>
      </c>
      <c r="C750" s="86"/>
      <c r="D750" s="86"/>
      <c r="E750" s="39"/>
      <c r="F750" s="36"/>
      <c r="H750" s="131"/>
      <c r="I750" s="131"/>
      <c r="J750" s="131"/>
    </row>
    <row r="751" spans="2:10" ht="18" customHeight="1">
      <c r="B751" s="38" t="s">
        <v>298</v>
      </c>
      <c r="C751" s="86"/>
      <c r="D751" s="86">
        <v>2534000</v>
      </c>
      <c r="E751" s="39"/>
      <c r="F751" s="36"/>
      <c r="H751" s="131"/>
      <c r="I751" s="131"/>
      <c r="J751" s="131"/>
    </row>
    <row r="752" spans="2:10" ht="18" customHeight="1">
      <c r="B752" s="38" t="s">
        <v>299</v>
      </c>
      <c r="C752" s="37"/>
      <c r="D752" s="37"/>
      <c r="E752" s="39"/>
      <c r="F752" s="36"/>
      <c r="H752" s="131"/>
      <c r="I752" s="131"/>
      <c r="J752" s="131"/>
    </row>
    <row r="753" spans="2:25" ht="18" customHeight="1">
      <c r="B753" s="282" t="s">
        <v>312</v>
      </c>
      <c r="C753" s="37"/>
      <c r="D753" s="37">
        <v>178000</v>
      </c>
      <c r="E753" s="39"/>
      <c r="F753" s="36"/>
      <c r="H753" s="131"/>
      <c r="I753" s="131"/>
      <c r="J753" s="131"/>
    </row>
    <row r="754" spans="2:25" ht="18" customHeight="1">
      <c r="B754" s="38" t="s">
        <v>297</v>
      </c>
      <c r="C754" s="86"/>
      <c r="D754" s="86"/>
      <c r="E754" s="39"/>
      <c r="F754" s="36"/>
      <c r="H754" s="131"/>
      <c r="I754" s="131"/>
      <c r="J754" s="131"/>
    </row>
    <row r="755" spans="2:25">
      <c r="B755" s="282" t="s">
        <v>331</v>
      </c>
      <c r="C755" s="86"/>
      <c r="D755" s="86">
        <v>148000</v>
      </c>
      <c r="E755" s="37"/>
      <c r="F755" s="110"/>
      <c r="H755" s="131"/>
      <c r="I755" s="131"/>
      <c r="J755" s="131"/>
    </row>
    <row r="756" spans="2:25">
      <c r="B756" s="38" t="s">
        <v>330</v>
      </c>
      <c r="C756" s="37"/>
      <c r="D756" s="37"/>
      <c r="E756" s="37"/>
      <c r="F756" s="110"/>
      <c r="H756" s="131"/>
      <c r="I756" s="131"/>
      <c r="J756" s="131"/>
    </row>
    <row r="757" spans="2:25" s="156" customFormat="1" ht="20.25" customHeight="1" thickBot="1">
      <c r="B757" s="195" t="s">
        <v>166</v>
      </c>
      <c r="C757" s="174">
        <f>SUM(C754:C754)</f>
        <v>0</v>
      </c>
      <c r="D757" s="174">
        <f>SUM(D733:D756)</f>
        <v>6455124.3399999999</v>
      </c>
      <c r="E757" s="174"/>
      <c r="F757" s="197"/>
    </row>
    <row r="758" spans="2:25" ht="18" thickTop="1"/>
    <row r="760" spans="2:25">
      <c r="B760" s="199" t="s">
        <v>269</v>
      </c>
      <c r="G760" s="200"/>
      <c r="H760" s="201"/>
      <c r="I760" s="201"/>
      <c r="J760" s="201"/>
    </row>
    <row r="761" spans="2:25">
      <c r="B761" s="199" t="s">
        <v>283</v>
      </c>
      <c r="G761" s="131"/>
      <c r="H761" s="131"/>
      <c r="I761" s="131"/>
      <c r="J761" s="131"/>
      <c r="K761" s="131"/>
      <c r="L761" s="131"/>
      <c r="M761" s="131"/>
      <c r="N761" s="131"/>
      <c r="O761" s="131"/>
      <c r="P761" s="131"/>
      <c r="Q761" s="131"/>
      <c r="R761" s="131"/>
      <c r="S761" s="131"/>
      <c r="T761" s="131"/>
      <c r="U761" s="131"/>
      <c r="V761" s="131"/>
      <c r="W761" s="131"/>
      <c r="X761" s="131"/>
      <c r="Y761" s="131"/>
    </row>
    <row r="762" spans="2:25">
      <c r="B762" s="199"/>
      <c r="G762" s="131"/>
      <c r="H762" s="131"/>
      <c r="I762" s="131"/>
      <c r="J762" s="131"/>
      <c r="K762" s="131"/>
      <c r="L762" s="131"/>
      <c r="M762" s="131"/>
      <c r="N762" s="131"/>
      <c r="O762" s="131"/>
      <c r="P762" s="131"/>
      <c r="Q762" s="131"/>
      <c r="R762" s="131"/>
      <c r="S762" s="131"/>
      <c r="T762" s="131"/>
      <c r="U762" s="131"/>
      <c r="V762" s="131"/>
      <c r="W762" s="131"/>
      <c r="X762" s="131"/>
      <c r="Y762" s="131"/>
    </row>
    <row r="763" spans="2:25">
      <c r="B763" s="199"/>
      <c r="G763" s="131"/>
      <c r="H763" s="131"/>
      <c r="I763" s="131"/>
      <c r="J763" s="131"/>
      <c r="K763" s="131"/>
      <c r="L763" s="131"/>
      <c r="M763" s="131"/>
      <c r="N763" s="131"/>
      <c r="O763" s="131"/>
      <c r="P763" s="131"/>
      <c r="Q763" s="131"/>
      <c r="R763" s="131"/>
      <c r="S763" s="131"/>
      <c r="T763" s="131"/>
      <c r="U763" s="131"/>
      <c r="V763" s="131"/>
      <c r="W763" s="131"/>
      <c r="X763" s="131"/>
      <c r="Y763" s="131"/>
    </row>
    <row r="764" spans="2:25">
      <c r="B764" s="199"/>
      <c r="G764" s="131"/>
      <c r="H764" s="131"/>
      <c r="I764" s="131"/>
      <c r="J764" s="131"/>
      <c r="K764" s="131"/>
      <c r="L764" s="131"/>
      <c r="M764" s="131"/>
      <c r="N764" s="131"/>
      <c r="O764" s="131"/>
      <c r="P764" s="131"/>
      <c r="Q764" s="131"/>
      <c r="R764" s="131"/>
      <c r="S764" s="131"/>
      <c r="T764" s="131"/>
      <c r="U764" s="131"/>
      <c r="V764" s="131"/>
      <c r="W764" s="131"/>
      <c r="X764" s="131"/>
      <c r="Y764" s="131"/>
    </row>
    <row r="765" spans="2:25">
      <c r="B765" s="199"/>
      <c r="G765" s="131"/>
      <c r="H765" s="131"/>
      <c r="I765" s="131"/>
      <c r="J765" s="131"/>
      <c r="K765" s="131"/>
      <c r="L765" s="131"/>
      <c r="M765" s="131"/>
      <c r="N765" s="131"/>
      <c r="O765" s="131"/>
      <c r="P765" s="131"/>
      <c r="Q765" s="131"/>
      <c r="R765" s="131"/>
      <c r="S765" s="131"/>
      <c r="T765" s="131"/>
      <c r="U765" s="131"/>
      <c r="V765" s="131"/>
      <c r="W765" s="131"/>
      <c r="X765" s="131"/>
      <c r="Y765" s="131"/>
    </row>
    <row r="766" spans="2:25">
      <c r="B766" s="199"/>
      <c r="G766" s="131"/>
      <c r="H766" s="131"/>
      <c r="I766" s="131"/>
      <c r="J766" s="131"/>
      <c r="K766" s="131"/>
      <c r="L766" s="131"/>
      <c r="M766" s="131"/>
      <c r="N766" s="131"/>
      <c r="O766" s="131"/>
      <c r="P766" s="131"/>
      <c r="Q766" s="131"/>
      <c r="R766" s="131"/>
      <c r="S766" s="131"/>
      <c r="T766" s="131"/>
      <c r="U766" s="131"/>
      <c r="V766" s="131"/>
      <c r="W766" s="131"/>
      <c r="X766" s="131"/>
      <c r="Y766" s="131"/>
    </row>
    <row r="767" spans="2:25">
      <c r="B767" s="199"/>
      <c r="G767" s="131"/>
      <c r="H767" s="131"/>
      <c r="I767" s="131"/>
      <c r="J767" s="131"/>
      <c r="K767" s="131"/>
      <c r="L767" s="131"/>
      <c r="M767" s="131"/>
      <c r="N767" s="131"/>
      <c r="O767" s="131"/>
      <c r="P767" s="131"/>
      <c r="Q767" s="131"/>
      <c r="R767" s="131"/>
      <c r="S767" s="131"/>
      <c r="T767" s="131"/>
      <c r="U767" s="131"/>
      <c r="V767" s="131"/>
      <c r="W767" s="131"/>
      <c r="X767" s="131"/>
      <c r="Y767" s="131"/>
    </row>
    <row r="768" spans="2:25">
      <c r="B768" s="199"/>
      <c r="G768" s="131"/>
      <c r="H768" s="131"/>
      <c r="I768" s="131"/>
      <c r="J768" s="131"/>
      <c r="K768" s="131"/>
      <c r="L768" s="131"/>
      <c r="M768" s="131"/>
      <c r="N768" s="131"/>
      <c r="O768" s="131"/>
      <c r="P768" s="131"/>
      <c r="Q768" s="131"/>
      <c r="R768" s="131"/>
      <c r="S768" s="131"/>
      <c r="T768" s="131"/>
      <c r="U768" s="131"/>
      <c r="V768" s="131"/>
      <c r="W768" s="131"/>
      <c r="X768" s="131"/>
      <c r="Y768" s="131"/>
    </row>
    <row r="769" spans="2:25">
      <c r="B769" s="199"/>
      <c r="G769" s="131"/>
      <c r="H769" s="131"/>
      <c r="I769" s="131"/>
      <c r="J769" s="131"/>
      <c r="K769" s="131"/>
      <c r="L769" s="131"/>
      <c r="M769" s="131"/>
      <c r="N769" s="131"/>
      <c r="O769" s="131"/>
      <c r="P769" s="131"/>
      <c r="Q769" s="131"/>
      <c r="R769" s="131"/>
      <c r="S769" s="131"/>
      <c r="T769" s="131"/>
      <c r="U769" s="131"/>
      <c r="V769" s="131"/>
      <c r="W769" s="131"/>
      <c r="X769" s="131"/>
      <c r="Y769" s="131"/>
    </row>
    <row r="770" spans="2:25">
      <c r="B770" s="199"/>
      <c r="G770" s="131"/>
      <c r="H770" s="131"/>
      <c r="I770" s="131"/>
      <c r="J770" s="131"/>
      <c r="K770" s="131"/>
      <c r="L770" s="131"/>
      <c r="M770" s="131"/>
      <c r="N770" s="131"/>
      <c r="O770" s="131"/>
      <c r="P770" s="131"/>
      <c r="Q770" s="131"/>
      <c r="R770" s="131"/>
      <c r="S770" s="131"/>
      <c r="T770" s="131"/>
      <c r="U770" s="131"/>
      <c r="V770" s="131"/>
      <c r="W770" s="131"/>
      <c r="X770" s="131"/>
      <c r="Y770" s="131"/>
    </row>
    <row r="772" spans="2:25" ht="18" customHeight="1">
      <c r="B772" s="206" t="s">
        <v>328</v>
      </c>
    </row>
    <row r="773" spans="2:25" ht="18" customHeight="1">
      <c r="B773" s="203" t="s">
        <v>8</v>
      </c>
      <c r="C773" s="204" t="s">
        <v>58</v>
      </c>
      <c r="D773" s="204" t="s">
        <v>59</v>
      </c>
      <c r="E773" s="204" t="s">
        <v>60</v>
      </c>
      <c r="F773" s="201"/>
    </row>
    <row r="774" spans="2:25" ht="18" customHeight="1">
      <c r="B774" s="188" t="s">
        <v>61</v>
      </c>
      <c r="C774" s="209">
        <f>3216.6+1000</f>
        <v>4216.6000000000004</v>
      </c>
      <c r="D774" s="209">
        <f>28601.59+1000</f>
        <v>29601.59</v>
      </c>
      <c r="E774" s="189"/>
      <c r="F774" s="36"/>
    </row>
    <row r="775" spans="2:25" ht="18" customHeight="1">
      <c r="B775" s="191" t="s">
        <v>62</v>
      </c>
      <c r="C775" s="269">
        <v>23435</v>
      </c>
      <c r="D775" s="37">
        <v>24900</v>
      </c>
      <c r="E775" s="37"/>
      <c r="F775" s="210"/>
    </row>
    <row r="776" spans="2:25" ht="18" customHeight="1">
      <c r="B776" s="191" t="s">
        <v>153</v>
      </c>
      <c r="C776" s="37">
        <v>0</v>
      </c>
      <c r="D776" s="37">
        <v>0</v>
      </c>
      <c r="E776" s="37"/>
      <c r="F776" s="36"/>
    </row>
    <row r="777" spans="2:25" ht="18" customHeight="1">
      <c r="B777" s="191" t="s">
        <v>155</v>
      </c>
      <c r="C777" s="37">
        <v>2062.14</v>
      </c>
      <c r="D777" s="37">
        <v>0</v>
      </c>
      <c r="E777" s="37"/>
      <c r="F777" s="36"/>
    </row>
    <row r="778" spans="2:25" ht="18" customHeight="1">
      <c r="B778" s="191" t="s">
        <v>156</v>
      </c>
      <c r="C778" s="37">
        <v>10686</v>
      </c>
      <c r="D778" s="37">
        <v>10686</v>
      </c>
      <c r="E778" s="37"/>
      <c r="F778" s="210"/>
    </row>
    <row r="779" spans="2:25" ht="18" customHeight="1">
      <c r="B779" s="191" t="s">
        <v>70</v>
      </c>
      <c r="C779" s="37">
        <v>1913.58</v>
      </c>
      <c r="D779" s="37">
        <v>0</v>
      </c>
      <c r="E779" s="37"/>
      <c r="F779" s="211"/>
      <c r="G779" s="212"/>
    </row>
    <row r="780" spans="2:25" ht="18" customHeight="1">
      <c r="B780" s="191" t="s">
        <v>157</v>
      </c>
      <c r="C780" s="37">
        <v>260</v>
      </c>
      <c r="D780" s="37">
        <v>260</v>
      </c>
      <c r="E780" s="37"/>
      <c r="F780" s="36"/>
    </row>
    <row r="781" spans="2:25" ht="18" customHeight="1">
      <c r="B781" s="191" t="s">
        <v>150</v>
      </c>
      <c r="C781" s="37">
        <v>0</v>
      </c>
      <c r="D781" s="37">
        <v>0</v>
      </c>
      <c r="E781" s="37"/>
      <c r="F781" s="36"/>
    </row>
    <row r="782" spans="2:25" ht="18" customHeight="1">
      <c r="B782" s="191" t="s">
        <v>332</v>
      </c>
      <c r="C782" s="37">
        <v>3290</v>
      </c>
      <c r="D782" s="86">
        <v>3290</v>
      </c>
      <c r="E782" s="37"/>
      <c r="F782" s="36"/>
    </row>
    <row r="783" spans="2:25" ht="18" customHeight="1">
      <c r="B783" s="193"/>
      <c r="C783" s="86"/>
      <c r="D783" s="86"/>
      <c r="E783" s="39"/>
      <c r="F783" s="36"/>
    </row>
    <row r="784" spans="2:25" s="156" customFormat="1" ht="18" customHeight="1" thickBot="1">
      <c r="B784" s="195" t="s">
        <v>27</v>
      </c>
      <c r="C784" s="174">
        <f>SUM(C774:C783)</f>
        <v>45863.32</v>
      </c>
      <c r="D784" s="174">
        <f>SUM(D774:D783)</f>
        <v>68737.59</v>
      </c>
      <c r="E784" s="174"/>
      <c r="F784" s="197"/>
    </row>
    <row r="785" spans="2:7" s="156" customFormat="1" ht="18" customHeight="1" thickTop="1">
      <c r="B785" s="198"/>
      <c r="C785" s="197"/>
      <c r="D785" s="197"/>
      <c r="E785" s="197"/>
      <c r="F785" s="197"/>
    </row>
    <row r="786" spans="2:7" ht="18" customHeight="1">
      <c r="B786" s="206" t="s">
        <v>329</v>
      </c>
    </row>
    <row r="787" spans="2:7" ht="18" customHeight="1">
      <c r="B787" s="203" t="s">
        <v>8</v>
      </c>
      <c r="C787" s="204" t="s">
        <v>58</v>
      </c>
      <c r="D787" s="204" t="s">
        <v>59</v>
      </c>
      <c r="E787" s="204" t="s">
        <v>60</v>
      </c>
      <c r="F787" s="201"/>
    </row>
    <row r="788" spans="2:7" ht="18" customHeight="1">
      <c r="B788" s="188" t="s">
        <v>61</v>
      </c>
      <c r="C788" s="209">
        <f>9751.5+7286.73+2079.17+12917.27+29601.59+3216.6+1000</f>
        <v>65852.86</v>
      </c>
      <c r="D788" s="209">
        <f>3678.26+9751.5+7286.73+2079.17+12917.27+29601.59</f>
        <v>65314.51999999999</v>
      </c>
      <c r="E788" s="189"/>
      <c r="F788" s="36"/>
    </row>
    <row r="789" spans="2:7" ht="18" customHeight="1">
      <c r="B789" s="191" t="s">
        <v>62</v>
      </c>
      <c r="C789" s="37">
        <f>24400+62950+23435</f>
        <v>110785</v>
      </c>
      <c r="D789" s="37">
        <f>42255+1600+22700+208070+24900</f>
        <v>299525</v>
      </c>
      <c r="E789" s="37"/>
      <c r="F789" s="210"/>
    </row>
    <row r="790" spans="2:7" ht="18" customHeight="1">
      <c r="B790" s="191" t="s">
        <v>153</v>
      </c>
      <c r="C790" s="37">
        <v>0</v>
      </c>
      <c r="D790" s="37">
        <v>0</v>
      </c>
      <c r="E790" s="37"/>
      <c r="F790" s="36"/>
    </row>
    <row r="791" spans="2:7" ht="18" customHeight="1">
      <c r="B791" s="191" t="s">
        <v>155</v>
      </c>
      <c r="C791" s="37">
        <f>31.74+18.96+558.96+2062.14</f>
        <v>2671.8</v>
      </c>
      <c r="D791" s="37">
        <v>5022.12</v>
      </c>
      <c r="E791" s="37"/>
      <c r="F791" s="36"/>
    </row>
    <row r="792" spans="2:7" ht="18" customHeight="1">
      <c r="B792" s="191" t="s">
        <v>156</v>
      </c>
      <c r="C792" s="37">
        <f>11511+11850+11624+10686+10686+10686</f>
        <v>67043</v>
      </c>
      <c r="D792" s="37">
        <f>11511+11850+11624+10686+10686+10686</f>
        <v>67043</v>
      </c>
      <c r="E792" s="37"/>
      <c r="F792" s="210"/>
    </row>
    <row r="793" spans="2:7" ht="18" customHeight="1">
      <c r="B793" s="191" t="s">
        <v>70</v>
      </c>
      <c r="C793" s="37">
        <v>1913.58</v>
      </c>
      <c r="D793" s="37">
        <v>0</v>
      </c>
      <c r="E793" s="37"/>
      <c r="F793" s="211"/>
      <c r="G793" s="212"/>
    </row>
    <row r="794" spans="2:7" ht="18" customHeight="1">
      <c r="B794" s="191" t="s">
        <v>157</v>
      </c>
      <c r="C794" s="37">
        <f>80+200+260</f>
        <v>540</v>
      </c>
      <c r="D794" s="37">
        <f>80+260</f>
        <v>340</v>
      </c>
      <c r="E794" s="37"/>
      <c r="F794" s="36"/>
    </row>
    <row r="795" spans="2:7" ht="18" customHeight="1">
      <c r="B795" s="191" t="s">
        <v>150</v>
      </c>
      <c r="C795" s="37">
        <v>0</v>
      </c>
      <c r="D795" s="37">
        <v>0</v>
      </c>
      <c r="E795" s="37"/>
      <c r="F795" s="36"/>
    </row>
    <row r="796" spans="2:7" ht="18" customHeight="1">
      <c r="B796" s="191" t="s">
        <v>332</v>
      </c>
      <c r="C796" s="37">
        <v>3290</v>
      </c>
      <c r="D796" s="86">
        <v>3290</v>
      </c>
      <c r="E796" s="37"/>
      <c r="F796" s="36"/>
    </row>
    <row r="797" spans="2:7" ht="18" customHeight="1">
      <c r="B797" s="193"/>
      <c r="C797" s="86"/>
      <c r="D797" s="86"/>
      <c r="E797" s="39"/>
      <c r="F797" s="36"/>
    </row>
    <row r="798" spans="2:7" s="156" customFormat="1" ht="18" customHeight="1" thickBot="1">
      <c r="B798" s="195" t="s">
        <v>27</v>
      </c>
      <c r="C798" s="174">
        <f>SUM(C788:C796)</f>
        <v>252096.23999999996</v>
      </c>
      <c r="D798" s="174">
        <f>SUM(D788:D796)</f>
        <v>440534.64</v>
      </c>
      <c r="E798" s="174"/>
      <c r="F798" s="197"/>
    </row>
    <row r="799" spans="2:7" ht="18" thickTop="1"/>
    <row r="801" spans="2:25">
      <c r="B801" s="199" t="s">
        <v>281</v>
      </c>
      <c r="G801" s="200"/>
      <c r="H801" s="201"/>
      <c r="I801" s="201"/>
      <c r="J801" s="201"/>
    </row>
    <row r="802" spans="2:25">
      <c r="B802" s="199" t="s">
        <v>282</v>
      </c>
      <c r="G802" s="131"/>
      <c r="H802" s="131"/>
      <c r="I802" s="131"/>
      <c r="J802" s="131"/>
      <c r="K802" s="131"/>
      <c r="L802" s="131"/>
      <c r="M802" s="131"/>
      <c r="N802" s="131"/>
      <c r="O802" s="131"/>
      <c r="P802" s="131"/>
      <c r="Q802" s="131"/>
      <c r="R802" s="131"/>
      <c r="S802" s="131"/>
      <c r="T802" s="131"/>
      <c r="U802" s="131"/>
      <c r="V802" s="131"/>
      <c r="W802" s="131"/>
      <c r="X802" s="131"/>
      <c r="Y802" s="131"/>
    </row>
    <row r="803" spans="2:25">
      <c r="B803" s="199"/>
      <c r="G803" s="131"/>
      <c r="H803" s="131"/>
      <c r="I803" s="131"/>
      <c r="J803" s="131"/>
      <c r="K803" s="131"/>
      <c r="L803" s="131"/>
      <c r="M803" s="131"/>
      <c r="N803" s="131"/>
      <c r="O803" s="131"/>
      <c r="P803" s="131"/>
      <c r="Q803" s="131"/>
      <c r="R803" s="131"/>
      <c r="S803" s="131"/>
      <c r="T803" s="131"/>
      <c r="U803" s="131"/>
      <c r="V803" s="131"/>
      <c r="W803" s="131"/>
      <c r="X803" s="131"/>
      <c r="Y803" s="131"/>
    </row>
    <row r="804" spans="2:25">
      <c r="B804" s="199"/>
      <c r="G804" s="131"/>
      <c r="H804" s="131"/>
      <c r="I804" s="131"/>
      <c r="J804" s="131"/>
      <c r="K804" s="131"/>
      <c r="L804" s="131"/>
      <c r="M804" s="131"/>
      <c r="N804" s="131"/>
      <c r="O804" s="131"/>
      <c r="P804" s="131"/>
      <c r="Q804" s="131"/>
      <c r="R804" s="131"/>
      <c r="S804" s="131"/>
      <c r="T804" s="131"/>
      <c r="U804" s="131"/>
      <c r="V804" s="131"/>
      <c r="W804" s="131"/>
      <c r="X804" s="131"/>
      <c r="Y804" s="131"/>
    </row>
    <row r="805" spans="2:25">
      <c r="B805" s="199"/>
      <c r="G805" s="131"/>
      <c r="H805" s="131"/>
      <c r="I805" s="131"/>
      <c r="J805" s="131"/>
      <c r="K805" s="131"/>
      <c r="L805" s="131"/>
      <c r="M805" s="131"/>
      <c r="N805" s="131"/>
      <c r="O805" s="131"/>
      <c r="P805" s="131"/>
      <c r="Q805" s="131"/>
      <c r="R805" s="131"/>
      <c r="S805" s="131"/>
      <c r="T805" s="131"/>
      <c r="U805" s="131"/>
      <c r="V805" s="131"/>
      <c r="W805" s="131"/>
      <c r="X805" s="131"/>
      <c r="Y805" s="131"/>
    </row>
    <row r="806" spans="2:25">
      <c r="B806" s="199"/>
      <c r="G806" s="131"/>
      <c r="H806" s="131"/>
      <c r="I806" s="131"/>
      <c r="J806" s="131"/>
      <c r="K806" s="131"/>
      <c r="L806" s="131"/>
      <c r="M806" s="131"/>
      <c r="N806" s="131"/>
      <c r="O806" s="131"/>
      <c r="P806" s="131"/>
      <c r="Q806" s="131"/>
      <c r="R806" s="131"/>
      <c r="S806" s="131"/>
      <c r="T806" s="131"/>
      <c r="U806" s="131"/>
      <c r="V806" s="131"/>
      <c r="W806" s="131"/>
      <c r="X806" s="131"/>
      <c r="Y806" s="131"/>
    </row>
    <row r="807" spans="2:25">
      <c r="B807" s="199"/>
      <c r="G807" s="131"/>
      <c r="H807" s="131"/>
      <c r="I807" s="131"/>
      <c r="J807" s="131"/>
      <c r="K807" s="131"/>
      <c r="L807" s="131"/>
      <c r="M807" s="131"/>
      <c r="N807" s="131"/>
      <c r="O807" s="131"/>
      <c r="P807" s="131"/>
      <c r="Q807" s="131"/>
      <c r="R807" s="131"/>
      <c r="S807" s="131"/>
      <c r="T807" s="131"/>
      <c r="U807" s="131"/>
      <c r="V807" s="131"/>
      <c r="W807" s="131"/>
      <c r="X807" s="131"/>
      <c r="Y807" s="131"/>
    </row>
    <row r="808" spans="2:25">
      <c r="B808" s="199"/>
      <c r="G808" s="131"/>
      <c r="H808" s="131"/>
      <c r="I808" s="131"/>
      <c r="J808" s="131"/>
      <c r="K808" s="131"/>
      <c r="L808" s="131"/>
      <c r="M808" s="131"/>
      <c r="N808" s="131"/>
      <c r="O808" s="131"/>
      <c r="P808" s="131"/>
      <c r="Q808" s="131"/>
      <c r="R808" s="131"/>
      <c r="S808" s="131"/>
      <c r="T808" s="131"/>
      <c r="U808" s="131"/>
      <c r="V808" s="131"/>
      <c r="W808" s="131"/>
      <c r="X808" s="131"/>
      <c r="Y808" s="131"/>
    </row>
    <row r="809" spans="2:25">
      <c r="B809" s="199"/>
      <c r="G809" s="131"/>
      <c r="H809" s="131"/>
      <c r="I809" s="131"/>
      <c r="J809" s="131"/>
      <c r="K809" s="131"/>
      <c r="L809" s="131"/>
      <c r="M809" s="131"/>
      <c r="N809" s="131"/>
      <c r="O809" s="131"/>
      <c r="P809" s="131"/>
      <c r="Q809" s="131"/>
      <c r="R809" s="131"/>
      <c r="S809" s="131"/>
      <c r="T809" s="131"/>
      <c r="U809" s="131"/>
      <c r="V809" s="131"/>
      <c r="W809" s="131"/>
      <c r="X809" s="131"/>
      <c r="Y809" s="131"/>
    </row>
    <row r="810" spans="2:25">
      <c r="B810" s="199"/>
      <c r="G810" s="131"/>
      <c r="H810" s="131"/>
      <c r="I810" s="131"/>
      <c r="J810" s="131"/>
      <c r="K810" s="131"/>
      <c r="L810" s="131"/>
      <c r="M810" s="131"/>
      <c r="N810" s="131"/>
      <c r="O810" s="131"/>
      <c r="P810" s="131"/>
      <c r="Q810" s="131"/>
      <c r="R810" s="131"/>
      <c r="S810" s="131"/>
      <c r="T810" s="131"/>
      <c r="U810" s="131"/>
      <c r="V810" s="131"/>
      <c r="W810" s="131"/>
      <c r="X810" s="131"/>
      <c r="Y810" s="131"/>
    </row>
    <row r="811" spans="2:25">
      <c r="B811" s="199"/>
      <c r="G811" s="131"/>
      <c r="H811" s="131"/>
      <c r="I811" s="131"/>
      <c r="J811" s="131"/>
      <c r="K811" s="131"/>
      <c r="L811" s="131"/>
      <c r="M811" s="131"/>
      <c r="N811" s="131"/>
      <c r="O811" s="131"/>
      <c r="P811" s="131"/>
      <c r="Q811" s="131"/>
      <c r="R811" s="131"/>
      <c r="S811" s="131"/>
      <c r="T811" s="131"/>
      <c r="U811" s="131"/>
      <c r="V811" s="131"/>
      <c r="W811" s="131"/>
      <c r="X811" s="131"/>
      <c r="Y811" s="131"/>
    </row>
    <row r="812" spans="2:25">
      <c r="B812" s="199"/>
      <c r="G812" s="131"/>
      <c r="H812" s="131"/>
      <c r="I812" s="131"/>
      <c r="J812" s="131"/>
      <c r="K812" s="131"/>
      <c r="L812" s="131"/>
      <c r="M812" s="131"/>
      <c r="N812" s="131"/>
      <c r="O812" s="131"/>
      <c r="P812" s="131"/>
      <c r="Q812" s="131"/>
      <c r="R812" s="131"/>
      <c r="S812" s="131"/>
      <c r="T812" s="131"/>
      <c r="U812" s="131"/>
      <c r="V812" s="131"/>
      <c r="W812" s="131"/>
      <c r="X812" s="131"/>
      <c r="Y812" s="131"/>
    </row>
    <row r="813" spans="2:25">
      <c r="B813" s="199"/>
      <c r="G813" s="131"/>
      <c r="H813" s="131"/>
      <c r="I813" s="131"/>
      <c r="J813" s="131"/>
      <c r="K813" s="131"/>
      <c r="L813" s="131"/>
      <c r="M813" s="131"/>
      <c r="N813" s="131"/>
      <c r="O813" s="131"/>
      <c r="P813" s="131"/>
      <c r="Q813" s="131"/>
      <c r="R813" s="131"/>
      <c r="S813" s="131"/>
      <c r="T813" s="131"/>
      <c r="U813" s="131"/>
      <c r="V813" s="131"/>
      <c r="W813" s="131"/>
      <c r="X813" s="131"/>
      <c r="Y813" s="131"/>
    </row>
    <row r="814" spans="2:25">
      <c r="B814" s="199"/>
      <c r="G814" s="131"/>
      <c r="H814" s="131"/>
      <c r="I814" s="131"/>
      <c r="J814" s="131"/>
      <c r="K814" s="131"/>
      <c r="L814" s="131"/>
      <c r="M814" s="131"/>
      <c r="N814" s="131"/>
      <c r="O814" s="131"/>
      <c r="P814" s="131"/>
      <c r="Q814" s="131"/>
      <c r="R814" s="131"/>
      <c r="S814" s="131"/>
      <c r="T814" s="131"/>
      <c r="U814" s="131"/>
      <c r="V814" s="131"/>
      <c r="W814" s="131"/>
      <c r="X814" s="131"/>
      <c r="Y814" s="131"/>
    </row>
    <row r="815" spans="2:25">
      <c r="B815" s="199"/>
      <c r="G815" s="131"/>
      <c r="H815" s="131"/>
      <c r="I815" s="131"/>
      <c r="J815" s="131"/>
      <c r="K815" s="131"/>
      <c r="L815" s="131"/>
      <c r="M815" s="131"/>
      <c r="N815" s="131"/>
      <c r="O815" s="131"/>
      <c r="P815" s="131"/>
      <c r="Q815" s="131"/>
      <c r="R815" s="131"/>
      <c r="S815" s="131"/>
      <c r="T815" s="131"/>
      <c r="U815" s="131"/>
      <c r="V815" s="131"/>
      <c r="W815" s="131"/>
      <c r="X815" s="131"/>
      <c r="Y815" s="131"/>
    </row>
    <row r="816" spans="2:25">
      <c r="B816" s="199"/>
      <c r="G816" s="131"/>
      <c r="H816" s="131"/>
      <c r="I816" s="131"/>
      <c r="J816" s="131"/>
      <c r="K816" s="131"/>
      <c r="L816" s="131"/>
      <c r="M816" s="131"/>
      <c r="N816" s="131"/>
      <c r="O816" s="131"/>
      <c r="P816" s="131"/>
      <c r="Q816" s="131"/>
      <c r="R816" s="131"/>
      <c r="S816" s="131"/>
      <c r="T816" s="131"/>
      <c r="U816" s="131"/>
      <c r="V816" s="131"/>
      <c r="W816" s="131"/>
      <c r="X816" s="131"/>
      <c r="Y816" s="131"/>
    </row>
    <row r="818" spans="2:6">
      <c r="B818" s="202" t="s">
        <v>343</v>
      </c>
      <c r="F818" s="110"/>
    </row>
    <row r="819" spans="2:6" ht="17.25" customHeight="1">
      <c r="B819" s="203" t="s">
        <v>8</v>
      </c>
      <c r="C819" s="204" t="s">
        <v>344</v>
      </c>
      <c r="D819" s="204" t="s">
        <v>57</v>
      </c>
      <c r="E819" s="205" t="s">
        <v>345</v>
      </c>
      <c r="F819" s="201"/>
    </row>
    <row r="820" spans="2:6" ht="19.5" customHeight="1">
      <c r="B820" s="188" t="s">
        <v>42</v>
      </c>
      <c r="C820" s="189">
        <v>54933.88</v>
      </c>
      <c r="D820" s="189">
        <v>14323.5</v>
      </c>
      <c r="E820" s="190">
        <f>SUM(C820+D820)</f>
        <v>69257.38</v>
      </c>
      <c r="F820" s="36"/>
    </row>
    <row r="821" spans="2:6" ht="17.25" customHeight="1">
      <c r="B821" s="191" t="s">
        <v>43</v>
      </c>
      <c r="C821" s="37">
        <v>41715.32</v>
      </c>
      <c r="D821" s="37">
        <v>28360.74</v>
      </c>
      <c r="E821" s="37">
        <f t="shared" ref="E821:E845" si="6">SUM(C821+D821)</f>
        <v>70076.06</v>
      </c>
      <c r="F821" s="36"/>
    </row>
    <row r="822" spans="2:6" ht="17.25" customHeight="1">
      <c r="B822" s="191" t="s">
        <v>44</v>
      </c>
      <c r="C822" s="37">
        <v>9012</v>
      </c>
      <c r="D822" s="37">
        <v>816</v>
      </c>
      <c r="E822" s="37">
        <f t="shared" si="6"/>
        <v>9828</v>
      </c>
      <c r="F822" s="36"/>
    </row>
    <row r="823" spans="2:6" ht="17.25" customHeight="1">
      <c r="B823" s="191" t="s">
        <v>188</v>
      </c>
      <c r="C823" s="37">
        <v>19698</v>
      </c>
      <c r="D823" s="37">
        <v>0</v>
      </c>
      <c r="E823" s="37">
        <f t="shared" si="6"/>
        <v>19698</v>
      </c>
      <c r="F823" s="36"/>
    </row>
    <row r="824" spans="2:6" ht="17.25" customHeight="1">
      <c r="B824" s="191" t="s">
        <v>73</v>
      </c>
      <c r="C824" s="37">
        <v>0</v>
      </c>
      <c r="D824" s="37">
        <v>0</v>
      </c>
      <c r="E824" s="37">
        <f t="shared" si="6"/>
        <v>0</v>
      </c>
      <c r="F824" s="36"/>
    </row>
    <row r="825" spans="2:6" ht="17.25" customHeight="1">
      <c r="B825" s="191" t="s">
        <v>46</v>
      </c>
      <c r="C825" s="37">
        <v>623</v>
      </c>
      <c r="D825" s="37">
        <v>100</v>
      </c>
      <c r="E825" s="37">
        <f t="shared" si="6"/>
        <v>723</v>
      </c>
      <c r="F825" s="36"/>
    </row>
    <row r="826" spans="2:6" ht="17.25" customHeight="1">
      <c r="B826" s="191" t="s">
        <v>75</v>
      </c>
      <c r="C826" s="37">
        <v>60</v>
      </c>
      <c r="D826" s="37">
        <v>0</v>
      </c>
      <c r="E826" s="37">
        <f t="shared" si="6"/>
        <v>60</v>
      </c>
      <c r="F826" s="36"/>
    </row>
    <row r="827" spans="2:6" ht="17.25" customHeight="1">
      <c r="B827" s="191" t="s">
        <v>64</v>
      </c>
      <c r="C827" s="37">
        <v>330</v>
      </c>
      <c r="D827" s="37">
        <v>50</v>
      </c>
      <c r="E827" s="37">
        <f t="shared" si="6"/>
        <v>380</v>
      </c>
      <c r="F827" s="36"/>
    </row>
    <row r="828" spans="2:6" ht="17.25" customHeight="1">
      <c r="B828" s="191" t="s">
        <v>65</v>
      </c>
      <c r="C828" s="37">
        <v>1300</v>
      </c>
      <c r="D828" s="37">
        <v>500</v>
      </c>
      <c r="E828" s="37">
        <f t="shared" si="6"/>
        <v>1800</v>
      </c>
      <c r="F828" s="36"/>
    </row>
    <row r="829" spans="2:6" ht="17.25" customHeight="1">
      <c r="B829" s="191" t="s">
        <v>160</v>
      </c>
      <c r="C829" s="37">
        <v>0</v>
      </c>
      <c r="D829" s="37">
        <v>0</v>
      </c>
      <c r="E829" s="37">
        <f t="shared" si="6"/>
        <v>0</v>
      </c>
      <c r="F829" s="36"/>
    </row>
    <row r="830" spans="2:6" ht="17.25" customHeight="1">
      <c r="B830" s="191" t="s">
        <v>74</v>
      </c>
      <c r="C830" s="37">
        <v>27000</v>
      </c>
      <c r="D830" s="37">
        <v>3080</v>
      </c>
      <c r="E830" s="37">
        <f t="shared" si="6"/>
        <v>30080</v>
      </c>
      <c r="F830" s="36"/>
    </row>
    <row r="831" spans="2:6" ht="17.25" customHeight="1">
      <c r="B831" s="191" t="s">
        <v>55</v>
      </c>
      <c r="C831" s="37">
        <v>300</v>
      </c>
      <c r="D831" s="37">
        <v>143</v>
      </c>
      <c r="E831" s="37">
        <f t="shared" si="6"/>
        <v>443</v>
      </c>
      <c r="F831" s="36"/>
    </row>
    <row r="832" spans="2:6" ht="17.25" customHeight="1">
      <c r="B832" s="191" t="s">
        <v>56</v>
      </c>
      <c r="C832" s="37">
        <v>2160</v>
      </c>
      <c r="D832" s="37">
        <v>2248</v>
      </c>
      <c r="E832" s="37">
        <f t="shared" si="6"/>
        <v>4408</v>
      </c>
      <c r="F832" s="36"/>
    </row>
    <row r="833" spans="2:6" ht="17.25" customHeight="1">
      <c r="B833" s="192" t="s">
        <v>53</v>
      </c>
      <c r="C833" s="37">
        <v>67985.31</v>
      </c>
      <c r="D833" s="37">
        <v>0</v>
      </c>
      <c r="E833" s="37">
        <f t="shared" si="6"/>
        <v>67985.31</v>
      </c>
      <c r="F833" s="36"/>
    </row>
    <row r="834" spans="2:6" ht="17.25" customHeight="1">
      <c r="B834" s="192" t="s">
        <v>77</v>
      </c>
      <c r="C834" s="37">
        <v>17000</v>
      </c>
      <c r="D834" s="37">
        <v>0</v>
      </c>
      <c r="E834" s="37">
        <f t="shared" si="6"/>
        <v>17000</v>
      </c>
      <c r="F834" s="36"/>
    </row>
    <row r="835" spans="2:6" ht="17.25" customHeight="1">
      <c r="B835" s="192" t="s">
        <v>76</v>
      </c>
      <c r="C835" s="37">
        <v>324</v>
      </c>
      <c r="D835" s="37">
        <v>0</v>
      </c>
      <c r="E835" s="37">
        <f t="shared" si="6"/>
        <v>324</v>
      </c>
      <c r="F835" s="36"/>
    </row>
    <row r="836" spans="2:6" ht="17.25" customHeight="1">
      <c r="B836" s="192" t="s">
        <v>158</v>
      </c>
      <c r="C836" s="37">
        <v>277085.34999999998</v>
      </c>
      <c r="D836" s="37">
        <v>46580.88</v>
      </c>
      <c r="E836" s="37">
        <f t="shared" si="6"/>
        <v>323666.23</v>
      </c>
      <c r="F836" s="36"/>
    </row>
    <row r="837" spans="2:6" ht="17.25" customHeight="1">
      <c r="B837" s="191" t="s">
        <v>66</v>
      </c>
      <c r="C837" s="37">
        <v>4581889.87</v>
      </c>
      <c r="D837" s="37">
        <v>795581.45</v>
      </c>
      <c r="E837" s="37">
        <f t="shared" si="6"/>
        <v>5377471.3200000003</v>
      </c>
      <c r="F837" s="36"/>
    </row>
    <row r="838" spans="2:6" ht="17.25" customHeight="1">
      <c r="B838" s="191" t="s">
        <v>67</v>
      </c>
      <c r="C838" s="37">
        <v>1160340.77</v>
      </c>
      <c r="D838" s="37">
        <v>233138.62</v>
      </c>
      <c r="E838" s="37">
        <f t="shared" si="6"/>
        <v>1393479.3900000001</v>
      </c>
      <c r="F838" s="36"/>
    </row>
    <row r="839" spans="2:6" ht="17.25" customHeight="1">
      <c r="B839" s="38" t="s">
        <v>48</v>
      </c>
      <c r="C839" s="111">
        <v>68628.92</v>
      </c>
      <c r="D839" s="37">
        <v>0</v>
      </c>
      <c r="E839" s="37">
        <f t="shared" si="6"/>
        <v>68628.92</v>
      </c>
      <c r="F839" s="36"/>
    </row>
    <row r="840" spans="2:6" ht="17.25" customHeight="1">
      <c r="B840" s="191" t="s">
        <v>49</v>
      </c>
      <c r="C840" s="37">
        <v>0</v>
      </c>
      <c r="D840" s="37">
        <v>0</v>
      </c>
      <c r="E840" s="37">
        <f t="shared" si="6"/>
        <v>0</v>
      </c>
      <c r="F840" s="36"/>
    </row>
    <row r="841" spans="2:6" ht="17.25" customHeight="1">
      <c r="B841" s="191" t="s">
        <v>50</v>
      </c>
      <c r="C841" s="37">
        <v>2413722.42</v>
      </c>
      <c r="D841" s="37">
        <v>439961.66</v>
      </c>
      <c r="E841" s="37">
        <f t="shared" si="6"/>
        <v>2853684.08</v>
      </c>
      <c r="F841" s="36"/>
    </row>
    <row r="842" spans="2:6" ht="17.25" customHeight="1">
      <c r="B842" s="192" t="s">
        <v>54</v>
      </c>
      <c r="C842" s="37">
        <v>34197.64</v>
      </c>
      <c r="D842" s="37">
        <v>0</v>
      </c>
      <c r="E842" s="37">
        <f t="shared" si="6"/>
        <v>34197.64</v>
      </c>
      <c r="F842" s="36"/>
    </row>
    <row r="843" spans="2:6" ht="17.25" customHeight="1">
      <c r="B843" s="191" t="s">
        <v>51</v>
      </c>
      <c r="C843" s="37">
        <v>22018.720000000001</v>
      </c>
      <c r="D843" s="37">
        <v>0</v>
      </c>
      <c r="E843" s="37">
        <f t="shared" si="6"/>
        <v>22018.720000000001</v>
      </c>
      <c r="F843" s="36"/>
    </row>
    <row r="844" spans="2:6" ht="17.25" customHeight="1">
      <c r="B844" s="191" t="s">
        <v>47</v>
      </c>
      <c r="C844" s="37">
        <v>210418</v>
      </c>
      <c r="D844" s="37">
        <v>41415</v>
      </c>
      <c r="E844" s="37">
        <f t="shared" si="6"/>
        <v>251833</v>
      </c>
      <c r="F844" s="36"/>
    </row>
    <row r="845" spans="2:6" ht="17.25" customHeight="1">
      <c r="B845" s="191" t="s">
        <v>52</v>
      </c>
      <c r="C845" s="37">
        <v>10945447</v>
      </c>
      <c r="D845" s="37">
        <v>1874406</v>
      </c>
      <c r="E845" s="37">
        <f t="shared" si="6"/>
        <v>12819853</v>
      </c>
      <c r="F845" s="36"/>
    </row>
    <row r="846" spans="2:6" ht="17.25" customHeight="1">
      <c r="B846" s="191" t="s">
        <v>338</v>
      </c>
      <c r="C846" s="86"/>
      <c r="D846" s="194">
        <v>40000</v>
      </c>
      <c r="E846" s="194">
        <f>SUM(D846)</f>
        <v>40000</v>
      </c>
      <c r="F846" s="36"/>
    </row>
    <row r="847" spans="2:6" s="156" customFormat="1" ht="17.25" customHeight="1" thickBot="1">
      <c r="B847" s="195" t="s">
        <v>165</v>
      </c>
      <c r="C847" s="174">
        <f>SUM(C820:C846)</f>
        <v>19956190.200000003</v>
      </c>
      <c r="D847" s="174">
        <f>SUM(D820:D846)</f>
        <v>3520704.8499999996</v>
      </c>
      <c r="E847" s="196">
        <f>SUM(E820:E846)</f>
        <v>23476895.050000004</v>
      </c>
      <c r="F847" s="197"/>
    </row>
    <row r="848" spans="2:6" s="156" customFormat="1" ht="17.25" customHeight="1" thickTop="1">
      <c r="B848" s="198"/>
      <c r="D848" s="197"/>
      <c r="E848" s="197"/>
      <c r="F848" s="197"/>
    </row>
    <row r="849" spans="2:25" s="156" customFormat="1" ht="17.25" customHeight="1">
      <c r="B849" s="198"/>
      <c r="C849" s="197"/>
      <c r="D849" s="197"/>
      <c r="E849" s="197"/>
      <c r="F849" s="197"/>
    </row>
    <row r="850" spans="2:25" s="156" customFormat="1" ht="17.25" customHeight="1">
      <c r="B850" s="198"/>
      <c r="C850" s="197"/>
      <c r="D850" s="197"/>
      <c r="E850" s="197"/>
      <c r="F850" s="197"/>
    </row>
    <row r="851" spans="2:25">
      <c r="B851" s="199" t="s">
        <v>269</v>
      </c>
      <c r="G851" s="200"/>
      <c r="H851" s="201"/>
      <c r="I851" s="201"/>
      <c r="J851" s="201"/>
    </row>
    <row r="852" spans="2:25">
      <c r="B852" s="199" t="s">
        <v>283</v>
      </c>
      <c r="G852" s="131"/>
      <c r="H852" s="131"/>
      <c r="I852" s="131"/>
      <c r="J852" s="131"/>
      <c r="K852" s="131"/>
      <c r="L852" s="131"/>
      <c r="M852" s="131"/>
      <c r="N852" s="131"/>
      <c r="O852" s="131"/>
      <c r="P852" s="131"/>
      <c r="Q852" s="131"/>
      <c r="R852" s="131"/>
      <c r="S852" s="131"/>
      <c r="T852" s="131"/>
      <c r="U852" s="131"/>
      <c r="V852" s="131"/>
      <c r="W852" s="131"/>
      <c r="X852" s="131"/>
      <c r="Y852" s="131"/>
    </row>
    <row r="853" spans="2:25" s="156" customFormat="1" ht="17.25" customHeight="1">
      <c r="B853" s="198"/>
      <c r="C853" s="197"/>
      <c r="D853" s="197"/>
      <c r="E853" s="197"/>
      <c r="F853" s="197"/>
    </row>
    <row r="854" spans="2:25" s="156" customFormat="1" ht="17.25" customHeight="1">
      <c r="B854" s="198"/>
      <c r="C854" s="197"/>
      <c r="D854" s="197"/>
      <c r="E854" s="197"/>
      <c r="F854" s="197"/>
    </row>
    <row r="855" spans="2:25" s="156" customFormat="1" ht="17.25" customHeight="1">
      <c r="B855" s="198"/>
      <c r="C855" s="197"/>
      <c r="D855" s="197"/>
      <c r="E855" s="197"/>
      <c r="F855" s="197"/>
    </row>
    <row r="856" spans="2:25" s="156" customFormat="1" ht="17.25" customHeight="1">
      <c r="B856" s="198"/>
      <c r="C856" s="197"/>
      <c r="D856" s="197"/>
      <c r="E856" s="197"/>
      <c r="F856" s="197"/>
    </row>
    <row r="857" spans="2:25" s="156" customFormat="1" ht="17.25" customHeight="1">
      <c r="B857" s="198"/>
      <c r="C857" s="197"/>
      <c r="D857" s="197"/>
      <c r="E857" s="197"/>
      <c r="F857" s="197"/>
    </row>
    <row r="858" spans="2:25" s="156" customFormat="1" ht="17.25" customHeight="1">
      <c r="B858" s="198"/>
      <c r="C858" s="197"/>
      <c r="D858" s="197"/>
      <c r="E858" s="197"/>
      <c r="F858" s="197"/>
    </row>
    <row r="859" spans="2:25" s="156" customFormat="1" ht="17.25" customHeight="1">
      <c r="B859" s="198"/>
      <c r="C859" s="197"/>
      <c r="D859" s="197"/>
      <c r="E859" s="197"/>
      <c r="F859" s="197"/>
    </row>
    <row r="860" spans="2:25" s="156" customFormat="1" ht="17.25" customHeight="1">
      <c r="B860" s="198"/>
      <c r="C860" s="197"/>
      <c r="D860" s="197"/>
      <c r="E860" s="197"/>
      <c r="F860" s="197"/>
    </row>
    <row r="861" spans="2:25" s="156" customFormat="1" ht="17.25" customHeight="1">
      <c r="B861" s="198"/>
      <c r="C861" s="197"/>
      <c r="D861" s="197"/>
      <c r="E861" s="197"/>
      <c r="F861" s="197"/>
    </row>
    <row r="862" spans="2:25" s="156" customFormat="1" ht="17.25" customHeight="1">
      <c r="B862" s="198"/>
      <c r="C862" s="197"/>
      <c r="D862" s="197"/>
      <c r="E862" s="197"/>
      <c r="F862" s="197"/>
    </row>
    <row r="863" spans="2:25" s="156" customFormat="1" ht="17.25" customHeight="1">
      <c r="B863" s="198"/>
      <c r="C863" s="197"/>
      <c r="D863" s="197"/>
      <c r="E863" s="197"/>
      <c r="F863" s="197"/>
    </row>
    <row r="864" spans="2:25" s="156" customFormat="1" ht="17.25" customHeight="1">
      <c r="B864" s="198"/>
      <c r="C864" s="197"/>
      <c r="D864" s="197"/>
      <c r="E864" s="197"/>
      <c r="F864" s="197"/>
    </row>
    <row r="865" spans="2:10" s="156" customFormat="1" ht="17.25" customHeight="1">
      <c r="B865" s="198"/>
      <c r="C865" s="197"/>
      <c r="D865" s="197"/>
      <c r="E865" s="197"/>
      <c r="F865" s="197"/>
    </row>
    <row r="866" spans="2:10" s="156" customFormat="1" ht="17.25" customHeight="1">
      <c r="B866" s="198"/>
      <c r="C866" s="197"/>
      <c r="D866" s="197"/>
      <c r="E866" s="197"/>
      <c r="F866" s="197"/>
    </row>
    <row r="867" spans="2:10" ht="20.25" customHeight="1">
      <c r="B867" s="206" t="s">
        <v>346</v>
      </c>
      <c r="H867" s="131"/>
      <c r="I867" s="131"/>
      <c r="J867" s="131"/>
    </row>
    <row r="868" spans="2:10" ht="18" customHeight="1">
      <c r="B868" s="203" t="s">
        <v>8</v>
      </c>
      <c r="C868" s="204" t="s">
        <v>58</v>
      </c>
      <c r="D868" s="204" t="s">
        <v>59</v>
      </c>
      <c r="E868" s="204" t="s">
        <v>60</v>
      </c>
      <c r="F868" s="201"/>
      <c r="H868" s="131"/>
      <c r="I868" s="131"/>
      <c r="J868" s="131"/>
    </row>
    <row r="869" spans="2:10">
      <c r="B869" s="38"/>
      <c r="C869" s="86"/>
      <c r="D869" s="86">
        <v>0</v>
      </c>
      <c r="E869" s="37"/>
      <c r="F869" s="110"/>
      <c r="H869" s="131"/>
      <c r="I869" s="131"/>
      <c r="J869" s="131"/>
    </row>
    <row r="870" spans="2:10">
      <c r="B870" s="38"/>
      <c r="C870" s="37"/>
      <c r="D870" s="37"/>
      <c r="E870" s="37"/>
      <c r="F870" s="110"/>
      <c r="H870" s="131"/>
      <c r="I870" s="131"/>
      <c r="J870" s="131"/>
    </row>
    <row r="871" spans="2:10" ht="18" customHeight="1">
      <c r="B871" s="282"/>
      <c r="C871" s="37"/>
      <c r="D871" s="37"/>
      <c r="E871" s="37"/>
      <c r="F871" s="36"/>
      <c r="H871" s="131"/>
      <c r="I871" s="131"/>
      <c r="J871" s="131"/>
    </row>
    <row r="872" spans="2:10" ht="18" customHeight="1">
      <c r="B872" s="193"/>
      <c r="C872" s="86"/>
      <c r="D872" s="86"/>
      <c r="E872" s="39"/>
      <c r="F872" s="36"/>
      <c r="H872" s="131"/>
      <c r="I872" s="131"/>
      <c r="J872" s="131"/>
    </row>
    <row r="873" spans="2:10" s="156" customFormat="1" ht="20.25" customHeight="1" thickBot="1">
      <c r="B873" s="195" t="s">
        <v>166</v>
      </c>
      <c r="C873" s="174">
        <f>SUM(C872:C872)</f>
        <v>0</v>
      </c>
      <c r="D873" s="174">
        <f>SUM(D869:D872)</f>
        <v>0</v>
      </c>
      <c r="E873" s="174"/>
      <c r="F873" s="197"/>
    </row>
    <row r="874" spans="2:10" s="156" customFormat="1" ht="20.25" customHeight="1" thickTop="1">
      <c r="B874" s="198"/>
      <c r="C874" s="197"/>
      <c r="D874" s="197"/>
      <c r="E874" s="197"/>
      <c r="F874" s="197"/>
    </row>
    <row r="875" spans="2:10" ht="20.25" customHeight="1">
      <c r="B875" s="206" t="s">
        <v>347</v>
      </c>
      <c r="H875" s="131"/>
      <c r="I875" s="131"/>
      <c r="J875" s="131"/>
    </row>
    <row r="876" spans="2:10" ht="18" customHeight="1">
      <c r="B876" s="203" t="s">
        <v>8</v>
      </c>
      <c r="C876" s="204" t="s">
        <v>58</v>
      </c>
      <c r="D876" s="204" t="s">
        <v>59</v>
      </c>
      <c r="E876" s="204" t="s">
        <v>60</v>
      </c>
      <c r="F876" s="201"/>
      <c r="H876" s="131"/>
      <c r="I876" s="131"/>
      <c r="J876" s="131"/>
    </row>
    <row r="877" spans="2:10">
      <c r="B877" s="207" t="s">
        <v>163</v>
      </c>
      <c r="C877" s="37">
        <v>0</v>
      </c>
      <c r="D877" s="37">
        <v>5000</v>
      </c>
      <c r="E877" s="37"/>
      <c r="F877" s="110"/>
      <c r="H877" s="131"/>
      <c r="I877" s="131"/>
      <c r="J877" s="131"/>
    </row>
    <row r="878" spans="2:10">
      <c r="B878" s="207" t="s">
        <v>164</v>
      </c>
      <c r="C878" s="37">
        <v>0</v>
      </c>
      <c r="D878" s="37">
        <v>28000</v>
      </c>
      <c r="E878" s="37"/>
      <c r="F878" s="110"/>
      <c r="H878" s="131"/>
      <c r="I878" s="131"/>
      <c r="J878" s="131"/>
    </row>
    <row r="879" spans="2:10" ht="18" customHeight="1">
      <c r="B879" s="207" t="s">
        <v>182</v>
      </c>
      <c r="C879" s="37">
        <v>0</v>
      </c>
      <c r="D879" s="37">
        <v>20000</v>
      </c>
      <c r="E879" s="37"/>
      <c r="F879" s="36"/>
      <c r="H879" s="131"/>
      <c r="I879" s="131"/>
      <c r="J879" s="131"/>
    </row>
    <row r="880" spans="2:10" ht="18" customHeight="1">
      <c r="B880" s="207" t="s">
        <v>200</v>
      </c>
      <c r="C880" s="37">
        <v>0</v>
      </c>
      <c r="D880" s="37">
        <v>133831.48000000001</v>
      </c>
      <c r="E880" s="37"/>
      <c r="F880" s="36"/>
      <c r="H880" s="131"/>
      <c r="I880" s="131"/>
      <c r="J880" s="131"/>
    </row>
    <row r="881" spans="2:10">
      <c r="B881" s="207" t="s">
        <v>201</v>
      </c>
      <c r="C881" s="37"/>
      <c r="D881" s="37">
        <v>98000</v>
      </c>
      <c r="E881" s="37"/>
      <c r="F881" s="110"/>
      <c r="H881" s="208"/>
      <c r="I881" s="131"/>
      <c r="J881" s="131"/>
    </row>
    <row r="882" spans="2:10" ht="18" customHeight="1">
      <c r="B882" s="207" t="s">
        <v>202</v>
      </c>
      <c r="C882" s="37"/>
      <c r="D882" s="37">
        <v>277000</v>
      </c>
      <c r="E882" s="37"/>
      <c r="F882" s="36"/>
      <c r="H882" s="131"/>
      <c r="I882" s="131"/>
      <c r="J882" s="131"/>
    </row>
    <row r="883" spans="2:10" ht="18" customHeight="1">
      <c r="B883" s="207" t="s">
        <v>203</v>
      </c>
      <c r="C883" s="37"/>
      <c r="D883" s="37">
        <v>198000</v>
      </c>
      <c r="E883" s="39"/>
      <c r="F883" s="36"/>
      <c r="H883" s="131"/>
      <c r="I883" s="131"/>
      <c r="J883" s="131"/>
    </row>
    <row r="884" spans="2:10" ht="18" customHeight="1">
      <c r="B884" s="207" t="s">
        <v>204</v>
      </c>
      <c r="C884" s="86"/>
      <c r="D884" s="86">
        <v>228000</v>
      </c>
      <c r="E884" s="39"/>
      <c r="F884" s="36"/>
      <c r="H884" s="131"/>
      <c r="I884" s="131"/>
      <c r="J884" s="131"/>
    </row>
    <row r="885" spans="2:10" ht="18" customHeight="1">
      <c r="B885" s="207" t="s">
        <v>205</v>
      </c>
      <c r="C885" s="37"/>
      <c r="D885" s="37">
        <v>199000</v>
      </c>
      <c r="E885" s="39"/>
      <c r="F885" s="36"/>
      <c r="H885" s="131"/>
      <c r="I885" s="131"/>
      <c r="J885" s="131"/>
    </row>
    <row r="886" spans="2:10" ht="18" customHeight="1">
      <c r="B886" s="38" t="s">
        <v>236</v>
      </c>
      <c r="C886" s="86"/>
      <c r="D886" s="37">
        <v>166000</v>
      </c>
      <c r="E886" s="39"/>
      <c r="F886" s="36"/>
      <c r="H886" s="131"/>
      <c r="I886" s="131"/>
      <c r="J886" s="131"/>
    </row>
    <row r="887" spans="2:10" ht="18" customHeight="1">
      <c r="B887" s="38" t="s">
        <v>237</v>
      </c>
      <c r="C887" s="37"/>
      <c r="D887" s="37">
        <v>445000</v>
      </c>
      <c r="E887" s="39"/>
      <c r="F887" s="36"/>
      <c r="H887" s="131"/>
      <c r="I887" s="131"/>
      <c r="J887" s="131"/>
    </row>
    <row r="888" spans="2:10" ht="18" customHeight="1">
      <c r="B888" s="38" t="s">
        <v>238</v>
      </c>
      <c r="C888" s="37"/>
      <c r="D888" s="37">
        <v>39000</v>
      </c>
      <c r="E888" s="39"/>
      <c r="F888" s="36"/>
      <c r="H888" s="131"/>
      <c r="I888" s="131"/>
      <c r="J888" s="131"/>
    </row>
    <row r="889" spans="2:10" ht="18" customHeight="1">
      <c r="B889" s="38" t="s">
        <v>272</v>
      </c>
      <c r="C889" s="86"/>
      <c r="D889" s="86">
        <v>521617</v>
      </c>
      <c r="E889" s="39"/>
      <c r="F889" s="36"/>
      <c r="H889" s="131"/>
      <c r="I889" s="131"/>
      <c r="J889" s="131"/>
    </row>
    <row r="890" spans="2:10" ht="18" customHeight="1">
      <c r="B890" s="38" t="s">
        <v>271</v>
      </c>
      <c r="C890" s="37"/>
      <c r="D890" s="37"/>
      <c r="E890" s="39"/>
      <c r="F890" s="36"/>
      <c r="H890" s="131"/>
      <c r="I890" s="131"/>
      <c r="J890" s="131"/>
    </row>
    <row r="891" spans="2:10">
      <c r="B891" s="207" t="s">
        <v>296</v>
      </c>
      <c r="C891" s="86"/>
      <c r="D891" s="86">
        <v>363000</v>
      </c>
      <c r="E891" s="37"/>
      <c r="F891" s="110"/>
      <c r="H891" s="131"/>
      <c r="I891" s="131"/>
      <c r="J891" s="131"/>
    </row>
    <row r="892" spans="2:10">
      <c r="B892" s="38" t="s">
        <v>297</v>
      </c>
      <c r="C892" s="37"/>
      <c r="D892" s="37"/>
      <c r="E892" s="37"/>
      <c r="F892" s="110"/>
      <c r="H892" s="131"/>
      <c r="I892" s="131"/>
      <c r="J892" s="131"/>
    </row>
    <row r="893" spans="2:10" ht="18" customHeight="1">
      <c r="B893" s="38" t="s">
        <v>298</v>
      </c>
      <c r="C893" s="37"/>
      <c r="D893" s="37">
        <v>873675.86</v>
      </c>
      <c r="E893" s="37"/>
      <c r="F893" s="36"/>
      <c r="H893" s="131"/>
      <c r="I893" s="131"/>
      <c r="J893" s="131"/>
    </row>
    <row r="894" spans="2:10" ht="18" customHeight="1">
      <c r="B894" s="38" t="s">
        <v>299</v>
      </c>
      <c r="C894" s="86"/>
      <c r="D894" s="86"/>
      <c r="E894" s="39"/>
      <c r="F894" s="36"/>
      <c r="H894" s="131"/>
      <c r="I894" s="131"/>
      <c r="J894" s="131"/>
    </row>
    <row r="895" spans="2:10" ht="18" customHeight="1">
      <c r="B895" s="38" t="s">
        <v>298</v>
      </c>
      <c r="C895" s="86"/>
      <c r="D895" s="86">
        <v>2534000</v>
      </c>
      <c r="E895" s="39"/>
      <c r="F895" s="36"/>
      <c r="H895" s="131"/>
      <c r="I895" s="131"/>
      <c r="J895" s="131"/>
    </row>
    <row r="896" spans="2:10" ht="18" customHeight="1">
      <c r="B896" s="38" t="s">
        <v>299</v>
      </c>
      <c r="C896" s="37"/>
      <c r="D896" s="37"/>
      <c r="E896" s="39"/>
      <c r="F896" s="36"/>
      <c r="H896" s="131"/>
      <c r="I896" s="131"/>
      <c r="J896" s="131"/>
    </row>
    <row r="897" spans="2:25" ht="18" customHeight="1">
      <c r="B897" s="282" t="s">
        <v>312</v>
      </c>
      <c r="C897" s="37"/>
      <c r="D897" s="37">
        <v>178000</v>
      </c>
      <c r="E897" s="39"/>
      <c r="F897" s="36"/>
      <c r="H897" s="131"/>
      <c r="I897" s="131"/>
      <c r="J897" s="131"/>
    </row>
    <row r="898" spans="2:25" ht="18" customHeight="1">
      <c r="B898" s="38" t="s">
        <v>297</v>
      </c>
      <c r="C898" s="86"/>
      <c r="D898" s="86"/>
      <c r="E898" s="39"/>
      <c r="F898" s="36"/>
      <c r="H898" s="131"/>
      <c r="I898" s="131"/>
      <c r="J898" s="131"/>
    </row>
    <row r="899" spans="2:25">
      <c r="B899" s="282" t="s">
        <v>331</v>
      </c>
      <c r="C899" s="86"/>
      <c r="D899" s="86">
        <v>148000</v>
      </c>
      <c r="E899" s="37"/>
      <c r="F899" s="110"/>
      <c r="H899" s="131"/>
      <c r="I899" s="131"/>
      <c r="J899" s="131"/>
    </row>
    <row r="900" spans="2:25">
      <c r="B900" s="38" t="s">
        <v>330</v>
      </c>
      <c r="C900" s="37"/>
      <c r="D900" s="37"/>
      <c r="E900" s="37"/>
      <c r="F900" s="110"/>
      <c r="H900" s="131"/>
      <c r="I900" s="131"/>
      <c r="J900" s="131"/>
    </row>
    <row r="901" spans="2:25" s="156" customFormat="1" ht="20.25" customHeight="1" thickBot="1">
      <c r="B901" s="195" t="s">
        <v>166</v>
      </c>
      <c r="C901" s="174">
        <f>SUM(C898:C898)</f>
        <v>0</v>
      </c>
      <c r="D901" s="174">
        <f>SUM(D877:D900)</f>
        <v>6455124.3399999999</v>
      </c>
      <c r="E901" s="174"/>
      <c r="F901" s="197"/>
    </row>
    <row r="902" spans="2:25" ht="18" thickTop="1"/>
    <row r="904" spans="2:25">
      <c r="B904" s="199" t="s">
        <v>269</v>
      </c>
      <c r="G904" s="200"/>
      <c r="H904" s="201"/>
      <c r="I904" s="201"/>
      <c r="J904" s="201"/>
    </row>
    <row r="905" spans="2:25">
      <c r="B905" s="199" t="s">
        <v>283</v>
      </c>
      <c r="G905" s="131"/>
      <c r="H905" s="131"/>
      <c r="I905" s="131"/>
      <c r="J905" s="131"/>
      <c r="K905" s="131"/>
      <c r="L905" s="131"/>
      <c r="M905" s="131"/>
      <c r="N905" s="131"/>
      <c r="O905" s="131"/>
      <c r="P905" s="131"/>
      <c r="Q905" s="131"/>
      <c r="R905" s="131"/>
      <c r="S905" s="131"/>
      <c r="T905" s="131"/>
      <c r="U905" s="131"/>
      <c r="V905" s="131"/>
      <c r="W905" s="131"/>
      <c r="X905" s="131"/>
      <c r="Y905" s="131"/>
    </row>
    <row r="906" spans="2:25">
      <c r="B906" s="199"/>
      <c r="G906" s="131"/>
      <c r="H906" s="131"/>
      <c r="I906" s="131"/>
      <c r="J906" s="131"/>
      <c r="K906" s="131"/>
      <c r="L906" s="131"/>
      <c r="M906" s="131"/>
      <c r="N906" s="131"/>
      <c r="O906" s="131"/>
      <c r="P906" s="131"/>
      <c r="Q906" s="131"/>
      <c r="R906" s="131"/>
      <c r="S906" s="131"/>
      <c r="T906" s="131"/>
      <c r="U906" s="131"/>
      <c r="V906" s="131"/>
      <c r="W906" s="131"/>
      <c r="X906" s="131"/>
      <c r="Y906" s="131"/>
    </row>
    <row r="907" spans="2:25">
      <c r="B907" s="199"/>
      <c r="G907" s="131"/>
      <c r="H907" s="131"/>
      <c r="I907" s="131"/>
      <c r="J907" s="131"/>
      <c r="K907" s="131"/>
      <c r="L907" s="131"/>
      <c r="M907" s="131"/>
      <c r="N907" s="131"/>
      <c r="O907" s="131"/>
      <c r="P907" s="131"/>
      <c r="Q907" s="131"/>
      <c r="R907" s="131"/>
      <c r="S907" s="131"/>
      <c r="T907" s="131"/>
      <c r="U907" s="131"/>
      <c r="V907" s="131"/>
      <c r="W907" s="131"/>
      <c r="X907" s="131"/>
      <c r="Y907" s="131"/>
    </row>
    <row r="908" spans="2:25">
      <c r="B908" s="199"/>
      <c r="G908" s="131"/>
      <c r="H908" s="131"/>
      <c r="I908" s="131"/>
      <c r="J908" s="131"/>
      <c r="K908" s="131"/>
      <c r="L908" s="131"/>
      <c r="M908" s="131"/>
      <c r="N908" s="131"/>
      <c r="O908" s="131"/>
      <c r="P908" s="131"/>
      <c r="Q908" s="131"/>
      <c r="R908" s="131"/>
      <c r="S908" s="131"/>
      <c r="T908" s="131"/>
      <c r="U908" s="131"/>
      <c r="V908" s="131"/>
      <c r="W908" s="131"/>
      <c r="X908" s="131"/>
      <c r="Y908" s="131"/>
    </row>
    <row r="909" spans="2:25">
      <c r="B909" s="199"/>
      <c r="G909" s="131"/>
      <c r="H909" s="131"/>
      <c r="I909" s="131"/>
      <c r="J909" s="131"/>
      <c r="K909" s="131"/>
      <c r="L909" s="131"/>
      <c r="M909" s="131"/>
      <c r="N909" s="131"/>
      <c r="O909" s="131"/>
      <c r="P909" s="131"/>
      <c r="Q909" s="131"/>
      <c r="R909" s="131"/>
      <c r="S909" s="131"/>
      <c r="T909" s="131"/>
      <c r="U909" s="131"/>
      <c r="V909" s="131"/>
      <c r="W909" s="131"/>
      <c r="X909" s="131"/>
      <c r="Y909" s="131"/>
    </row>
    <row r="910" spans="2:25">
      <c r="B910" s="199"/>
      <c r="G910" s="131"/>
      <c r="H910" s="131"/>
      <c r="I910" s="131"/>
      <c r="J910" s="131"/>
      <c r="K910" s="131"/>
      <c r="L910" s="131"/>
      <c r="M910" s="131"/>
      <c r="N910" s="131"/>
      <c r="O910" s="131"/>
      <c r="P910" s="131"/>
      <c r="Q910" s="131"/>
      <c r="R910" s="131"/>
      <c r="S910" s="131"/>
      <c r="T910" s="131"/>
      <c r="U910" s="131"/>
      <c r="V910" s="131"/>
      <c r="W910" s="131"/>
      <c r="X910" s="131"/>
      <c r="Y910" s="131"/>
    </row>
    <row r="911" spans="2:25">
      <c r="B911" s="199"/>
      <c r="G911" s="131"/>
      <c r="H911" s="131"/>
      <c r="I911" s="131"/>
      <c r="J911" s="131"/>
      <c r="K911" s="131"/>
      <c r="L911" s="131"/>
      <c r="M911" s="131"/>
      <c r="N911" s="131"/>
      <c r="O911" s="131"/>
      <c r="P911" s="131"/>
      <c r="Q911" s="131"/>
      <c r="R911" s="131"/>
      <c r="S911" s="131"/>
      <c r="T911" s="131"/>
      <c r="U911" s="131"/>
      <c r="V911" s="131"/>
      <c r="W911" s="131"/>
      <c r="X911" s="131"/>
      <c r="Y911" s="131"/>
    </row>
    <row r="912" spans="2:25">
      <c r="B912" s="199"/>
      <c r="G912" s="131"/>
      <c r="H912" s="131"/>
      <c r="I912" s="131"/>
      <c r="J912" s="131"/>
      <c r="K912" s="131"/>
      <c r="L912" s="131"/>
      <c r="M912" s="131"/>
      <c r="N912" s="131"/>
      <c r="O912" s="131"/>
      <c r="P912" s="131"/>
      <c r="Q912" s="131"/>
      <c r="R912" s="131"/>
      <c r="S912" s="131"/>
      <c r="T912" s="131"/>
      <c r="U912" s="131"/>
      <c r="V912" s="131"/>
      <c r="W912" s="131"/>
      <c r="X912" s="131"/>
      <c r="Y912" s="131"/>
    </row>
    <row r="913" spans="2:25">
      <c r="B913" s="199"/>
      <c r="G913" s="131"/>
      <c r="H913" s="131"/>
      <c r="I913" s="131"/>
      <c r="J913" s="131"/>
      <c r="K913" s="131"/>
      <c r="L913" s="131"/>
      <c r="M913" s="131"/>
      <c r="N913" s="131"/>
      <c r="O913" s="131"/>
      <c r="P913" s="131"/>
      <c r="Q913" s="131"/>
      <c r="R913" s="131"/>
      <c r="S913" s="131"/>
      <c r="T913" s="131"/>
      <c r="U913" s="131"/>
      <c r="V913" s="131"/>
      <c r="W913" s="131"/>
      <c r="X913" s="131"/>
      <c r="Y913" s="131"/>
    </row>
    <row r="914" spans="2:25">
      <c r="B914" s="199"/>
      <c r="G914" s="131"/>
      <c r="H914" s="131"/>
      <c r="I914" s="131"/>
      <c r="J914" s="131"/>
      <c r="K914" s="131"/>
      <c r="L914" s="131"/>
      <c r="M914" s="131"/>
      <c r="N914" s="131"/>
      <c r="O914" s="131"/>
      <c r="P914" s="131"/>
      <c r="Q914" s="131"/>
      <c r="R914" s="131"/>
      <c r="S914" s="131"/>
      <c r="T914" s="131"/>
      <c r="U914" s="131"/>
      <c r="V914" s="131"/>
      <c r="W914" s="131"/>
      <c r="X914" s="131"/>
      <c r="Y914" s="131"/>
    </row>
    <row r="916" spans="2:25" ht="18" customHeight="1">
      <c r="B916" s="206" t="s">
        <v>348</v>
      </c>
    </row>
    <row r="917" spans="2:25" ht="18" customHeight="1">
      <c r="B917" s="203" t="s">
        <v>8</v>
      </c>
      <c r="C917" s="204" t="s">
        <v>58</v>
      </c>
      <c r="D917" s="204" t="s">
        <v>59</v>
      </c>
      <c r="E917" s="204" t="s">
        <v>60</v>
      </c>
      <c r="F917" s="201"/>
    </row>
    <row r="918" spans="2:25" ht="18" customHeight="1">
      <c r="B918" s="188" t="s">
        <v>61</v>
      </c>
      <c r="C918" s="209">
        <f>33901.95+1000</f>
        <v>34901.949999999997</v>
      </c>
      <c r="D918" s="209">
        <v>4216.6000000000004</v>
      </c>
      <c r="E918" s="189"/>
      <c r="F918" s="36"/>
    </row>
    <row r="919" spans="2:25" ht="18" customHeight="1">
      <c r="B919" s="191" t="s">
        <v>62</v>
      </c>
      <c r="C919" s="269">
        <v>29400</v>
      </c>
      <c r="D919" s="37">
        <v>9950</v>
      </c>
      <c r="E919" s="37"/>
      <c r="F919" s="210"/>
    </row>
    <row r="920" spans="2:25" ht="18" customHeight="1">
      <c r="B920" s="191" t="s">
        <v>153</v>
      </c>
      <c r="C920" s="37">
        <v>0</v>
      </c>
      <c r="D920" s="37">
        <v>0</v>
      </c>
      <c r="E920" s="37"/>
      <c r="F920" s="36"/>
    </row>
    <row r="921" spans="2:25" ht="18" customHeight="1">
      <c r="B921" s="191" t="s">
        <v>155</v>
      </c>
      <c r="C921" s="37">
        <v>1810.26</v>
      </c>
      <c r="D921" s="37">
        <v>0</v>
      </c>
      <c r="E921" s="37"/>
      <c r="F921" s="36"/>
    </row>
    <row r="922" spans="2:25" ht="18" customHeight="1">
      <c r="B922" s="191" t="s">
        <v>156</v>
      </c>
      <c r="C922" s="37">
        <v>10730</v>
      </c>
      <c r="D922" s="37">
        <v>10730</v>
      </c>
      <c r="E922" s="37"/>
      <c r="F922" s="210"/>
    </row>
    <row r="923" spans="2:25" ht="18" customHeight="1">
      <c r="B923" s="191" t="s">
        <v>70</v>
      </c>
      <c r="C923" s="37">
        <v>0</v>
      </c>
      <c r="D923" s="37">
        <v>0</v>
      </c>
      <c r="E923" s="37"/>
      <c r="F923" s="211"/>
      <c r="G923" s="212"/>
    </row>
    <row r="924" spans="2:25" ht="18" customHeight="1">
      <c r="B924" s="191" t="s">
        <v>157</v>
      </c>
      <c r="C924" s="37">
        <v>80</v>
      </c>
      <c r="D924" s="37">
        <v>200</v>
      </c>
      <c r="E924" s="37"/>
      <c r="F924" s="36"/>
    </row>
    <row r="925" spans="2:25" ht="18" customHeight="1">
      <c r="B925" s="191" t="s">
        <v>150</v>
      </c>
      <c r="C925" s="37">
        <v>0</v>
      </c>
      <c r="D925" s="37">
        <v>0</v>
      </c>
      <c r="E925" s="37"/>
      <c r="F925" s="36"/>
    </row>
    <row r="926" spans="2:25" ht="18" customHeight="1">
      <c r="B926" s="191" t="s">
        <v>332</v>
      </c>
      <c r="C926" s="37">
        <v>3290</v>
      </c>
      <c r="D926" s="86">
        <v>3290</v>
      </c>
      <c r="E926" s="37"/>
      <c r="F926" s="36"/>
    </row>
    <row r="927" spans="2:25" ht="18" customHeight="1">
      <c r="B927" s="193"/>
      <c r="C927" s="86"/>
      <c r="D927" s="86"/>
      <c r="E927" s="39"/>
      <c r="F927" s="36"/>
    </row>
    <row r="928" spans="2:25" s="156" customFormat="1" ht="18" customHeight="1" thickBot="1">
      <c r="B928" s="195" t="s">
        <v>27</v>
      </c>
      <c r="C928" s="174">
        <f>SUM(C918:C927)</f>
        <v>80212.209999999992</v>
      </c>
      <c r="D928" s="174">
        <f>SUM(D918:D927)</f>
        <v>28386.6</v>
      </c>
      <c r="E928" s="174"/>
      <c r="F928" s="197"/>
    </row>
    <row r="929" spans="2:7" s="156" customFormat="1" ht="18" customHeight="1" thickTop="1">
      <c r="B929" s="198"/>
      <c r="C929" s="197"/>
      <c r="D929" s="197"/>
      <c r="E929" s="197"/>
      <c r="F929" s="197"/>
    </row>
    <row r="930" spans="2:7" ht="18" customHeight="1">
      <c r="B930" s="206" t="s">
        <v>349</v>
      </c>
    </row>
    <row r="931" spans="2:7" ht="18" customHeight="1">
      <c r="B931" s="203" t="s">
        <v>8</v>
      </c>
      <c r="C931" s="204" t="s">
        <v>58</v>
      </c>
      <c r="D931" s="204" t="s">
        <v>59</v>
      </c>
      <c r="E931" s="204" t="s">
        <v>60</v>
      </c>
      <c r="F931" s="201"/>
    </row>
    <row r="932" spans="2:7" ht="18" customHeight="1">
      <c r="B932" s="188" t="s">
        <v>61</v>
      </c>
      <c r="C932" s="209">
        <f>9751.5+7286.73+2079.17+12917.27+29601.59+3216.6+1000+34901.95</f>
        <v>100754.81</v>
      </c>
      <c r="D932" s="209">
        <f>3678.26+9751.5+7286.73+2079.17+12917.27+29601.59+4216.6</f>
        <v>69531.12</v>
      </c>
      <c r="E932" s="189"/>
      <c r="F932" s="36"/>
    </row>
    <row r="933" spans="2:7" ht="18" customHeight="1">
      <c r="B933" s="191" t="s">
        <v>62</v>
      </c>
      <c r="C933" s="37">
        <f>24400+62950+23435+29400</f>
        <v>140185</v>
      </c>
      <c r="D933" s="37">
        <f>42255+1600+22700+208070+24900+9950</f>
        <v>309475</v>
      </c>
      <c r="E933" s="37"/>
      <c r="F933" s="210"/>
    </row>
    <row r="934" spans="2:7" ht="18" customHeight="1">
      <c r="B934" s="191" t="s">
        <v>153</v>
      </c>
      <c r="C934" s="37">
        <v>0</v>
      </c>
      <c r="D934" s="37">
        <v>0</v>
      </c>
      <c r="E934" s="37"/>
      <c r="F934" s="36"/>
    </row>
    <row r="935" spans="2:7" ht="18" customHeight="1">
      <c r="B935" s="191" t="s">
        <v>155</v>
      </c>
      <c r="C935" s="37">
        <f>31.74+18.96+558.96+2062.14+1810.26</f>
        <v>4482.0600000000004</v>
      </c>
      <c r="D935" s="37">
        <v>5022.12</v>
      </c>
      <c r="E935" s="37"/>
      <c r="F935" s="36"/>
    </row>
    <row r="936" spans="2:7" ht="18" customHeight="1">
      <c r="B936" s="191" t="s">
        <v>156</v>
      </c>
      <c r="C936" s="37">
        <f>11511+11850+11624+10686+10686+10686+10730</f>
        <v>77773</v>
      </c>
      <c r="D936" s="37">
        <f>11511+11850+11624+10686+10686+10686+10730</f>
        <v>77773</v>
      </c>
      <c r="E936" s="37"/>
      <c r="F936" s="210"/>
    </row>
    <row r="937" spans="2:7" ht="18" customHeight="1">
      <c r="B937" s="191" t="s">
        <v>70</v>
      </c>
      <c r="C937" s="37">
        <v>1913.58</v>
      </c>
      <c r="D937" s="37">
        <v>0</v>
      </c>
      <c r="E937" s="37"/>
      <c r="F937" s="211"/>
      <c r="G937" s="212"/>
    </row>
    <row r="938" spans="2:7" ht="18" customHeight="1">
      <c r="B938" s="191" t="s">
        <v>157</v>
      </c>
      <c r="C938" s="37">
        <f>80+200+260+80</f>
        <v>620</v>
      </c>
      <c r="D938" s="37">
        <f>80+260+200</f>
        <v>540</v>
      </c>
      <c r="E938" s="37"/>
      <c r="F938" s="36"/>
    </row>
    <row r="939" spans="2:7" ht="18" customHeight="1">
      <c r="B939" s="191" t="s">
        <v>150</v>
      </c>
      <c r="C939" s="37">
        <v>0</v>
      </c>
      <c r="D939" s="37">
        <v>0</v>
      </c>
      <c r="E939" s="37"/>
      <c r="F939" s="36"/>
    </row>
    <row r="940" spans="2:7" ht="18" customHeight="1">
      <c r="B940" s="191" t="s">
        <v>332</v>
      </c>
      <c r="C940" s="37">
        <f>3290+3290</f>
        <v>6580</v>
      </c>
      <c r="D940" s="86">
        <f>3290+3290</f>
        <v>6580</v>
      </c>
      <c r="E940" s="37"/>
      <c r="F940" s="36"/>
    </row>
    <row r="941" spans="2:7" ht="18" customHeight="1">
      <c r="B941" s="193"/>
      <c r="C941" s="86"/>
      <c r="D941" s="86"/>
      <c r="E941" s="39"/>
      <c r="F941" s="36"/>
    </row>
    <row r="942" spans="2:7" s="156" customFormat="1" ht="18" customHeight="1" thickBot="1">
      <c r="B942" s="195" t="s">
        <v>27</v>
      </c>
      <c r="C942" s="174">
        <f>SUM(C932:C940)</f>
        <v>332308.45</v>
      </c>
      <c r="D942" s="174">
        <f>SUM(D932:D940)</f>
        <v>468921.24</v>
      </c>
      <c r="E942" s="174"/>
      <c r="F942" s="197"/>
    </row>
    <row r="943" spans="2:7" ht="18" thickTop="1"/>
    <row r="945" spans="2:25">
      <c r="B945" s="199" t="s">
        <v>281</v>
      </c>
      <c r="G945" s="200"/>
      <c r="H945" s="201"/>
      <c r="I945" s="201"/>
      <c r="J945" s="201"/>
    </row>
    <row r="946" spans="2:25">
      <c r="B946" s="199" t="s">
        <v>282</v>
      </c>
      <c r="G946" s="131"/>
      <c r="H946" s="131"/>
      <c r="I946" s="131"/>
      <c r="J946" s="131"/>
      <c r="K946" s="131"/>
      <c r="L946" s="131"/>
      <c r="M946" s="131"/>
      <c r="N946" s="131"/>
      <c r="O946" s="131"/>
      <c r="P946" s="131"/>
      <c r="Q946" s="131"/>
      <c r="R946" s="131"/>
      <c r="S946" s="131"/>
      <c r="T946" s="131"/>
      <c r="U946" s="131"/>
      <c r="V946" s="131"/>
      <c r="W946" s="131"/>
      <c r="X946" s="131"/>
      <c r="Y946" s="131"/>
    </row>
    <row r="947" spans="2:25">
      <c r="B947" s="199"/>
      <c r="G947" s="131"/>
      <c r="H947" s="131"/>
      <c r="I947" s="131"/>
      <c r="J947" s="131"/>
      <c r="K947" s="131"/>
      <c r="L947" s="131"/>
      <c r="M947" s="131"/>
      <c r="N947" s="131"/>
      <c r="O947" s="131"/>
      <c r="P947" s="131"/>
      <c r="Q947" s="131"/>
      <c r="R947" s="131"/>
      <c r="S947" s="131"/>
      <c r="T947" s="131"/>
      <c r="U947" s="131"/>
      <c r="V947" s="131"/>
      <c r="W947" s="131"/>
      <c r="X947" s="131"/>
      <c r="Y947" s="131"/>
    </row>
    <row r="948" spans="2:25">
      <c r="B948" s="199"/>
      <c r="G948" s="131"/>
      <c r="H948" s="131"/>
      <c r="I948" s="131"/>
      <c r="J948" s="131"/>
      <c r="K948" s="131"/>
      <c r="L948" s="131"/>
      <c r="M948" s="131"/>
      <c r="N948" s="131"/>
      <c r="O948" s="131"/>
      <c r="P948" s="131"/>
      <c r="Q948" s="131"/>
      <c r="R948" s="131"/>
      <c r="S948" s="131"/>
      <c r="T948" s="131"/>
      <c r="U948" s="131"/>
      <c r="V948" s="131"/>
      <c r="W948" s="131"/>
      <c r="X948" s="131"/>
      <c r="Y948" s="131"/>
    </row>
    <row r="949" spans="2:25">
      <c r="B949" s="199"/>
      <c r="G949" s="131"/>
      <c r="H949" s="131"/>
      <c r="I949" s="131"/>
      <c r="J949" s="131"/>
      <c r="K949" s="131"/>
      <c r="L949" s="131"/>
      <c r="M949" s="131"/>
      <c r="N949" s="131"/>
      <c r="O949" s="131"/>
      <c r="P949" s="131"/>
      <c r="Q949" s="131"/>
      <c r="R949" s="131"/>
      <c r="S949" s="131"/>
      <c r="T949" s="131"/>
      <c r="U949" s="131"/>
      <c r="V949" s="131"/>
      <c r="W949" s="131"/>
      <c r="X949" s="131"/>
      <c r="Y949" s="131"/>
    </row>
    <row r="950" spans="2:25">
      <c r="B950" s="199"/>
      <c r="G950" s="131"/>
      <c r="H950" s="131"/>
      <c r="I950" s="131"/>
      <c r="J950" s="131"/>
      <c r="K950" s="131"/>
      <c r="L950" s="131"/>
      <c r="M950" s="131"/>
      <c r="N950" s="131"/>
      <c r="O950" s="131"/>
      <c r="P950" s="131"/>
      <c r="Q950" s="131"/>
      <c r="R950" s="131"/>
      <c r="S950" s="131"/>
      <c r="T950" s="131"/>
      <c r="U950" s="131"/>
      <c r="V950" s="131"/>
      <c r="W950" s="131"/>
      <c r="X950" s="131"/>
      <c r="Y950" s="131"/>
    </row>
    <row r="951" spans="2:25">
      <c r="B951" s="199"/>
      <c r="G951" s="131"/>
      <c r="H951" s="131"/>
      <c r="I951" s="131"/>
      <c r="J951" s="131"/>
      <c r="K951" s="131"/>
      <c r="L951" s="131"/>
      <c r="M951" s="131"/>
      <c r="N951" s="131"/>
      <c r="O951" s="131"/>
      <c r="P951" s="131"/>
      <c r="Q951" s="131"/>
      <c r="R951" s="131"/>
      <c r="S951" s="131"/>
      <c r="T951" s="131"/>
      <c r="U951" s="131"/>
      <c r="V951" s="131"/>
      <c r="W951" s="131"/>
      <c r="X951" s="131"/>
      <c r="Y951" s="131"/>
    </row>
    <row r="952" spans="2:25">
      <c r="B952" s="199"/>
      <c r="G952" s="131"/>
      <c r="H952" s="131"/>
      <c r="I952" s="131"/>
      <c r="J952" s="131"/>
      <c r="K952" s="131"/>
      <c r="L952" s="131"/>
      <c r="M952" s="131"/>
      <c r="N952" s="131"/>
      <c r="O952" s="131"/>
      <c r="P952" s="131"/>
      <c r="Q952" s="131"/>
      <c r="R952" s="131"/>
      <c r="S952" s="131"/>
      <c r="T952" s="131"/>
      <c r="U952" s="131"/>
      <c r="V952" s="131"/>
      <c r="W952" s="131"/>
      <c r="X952" s="131"/>
      <c r="Y952" s="131"/>
    </row>
    <row r="953" spans="2:25">
      <c r="B953" s="199"/>
      <c r="G953" s="131"/>
      <c r="H953" s="131"/>
      <c r="I953" s="131"/>
      <c r="J953" s="131"/>
      <c r="K953" s="131"/>
      <c r="L953" s="131"/>
      <c r="M953" s="131"/>
      <c r="N953" s="131"/>
      <c r="O953" s="131"/>
      <c r="P953" s="131"/>
      <c r="Q953" s="131"/>
      <c r="R953" s="131"/>
      <c r="S953" s="131"/>
      <c r="T953" s="131"/>
      <c r="U953" s="131"/>
      <c r="V953" s="131"/>
      <c r="W953" s="131"/>
      <c r="X953" s="131"/>
      <c r="Y953" s="131"/>
    </row>
    <row r="954" spans="2:25">
      <c r="B954" s="199"/>
      <c r="G954" s="131"/>
      <c r="H954" s="131"/>
      <c r="I954" s="131"/>
      <c r="J954" s="131"/>
      <c r="K954" s="131"/>
      <c r="L954" s="131"/>
      <c r="M954" s="131"/>
      <c r="N954" s="131"/>
      <c r="O954" s="131"/>
      <c r="P954" s="131"/>
      <c r="Q954" s="131"/>
      <c r="R954" s="131"/>
      <c r="S954" s="131"/>
      <c r="T954" s="131"/>
      <c r="U954" s="131"/>
      <c r="V954" s="131"/>
      <c r="W954" s="131"/>
      <c r="X954" s="131"/>
      <c r="Y954" s="131"/>
    </row>
    <row r="955" spans="2:25">
      <c r="B955" s="199"/>
      <c r="G955" s="131"/>
      <c r="H955" s="131"/>
      <c r="I955" s="131"/>
      <c r="J955" s="131"/>
      <c r="K955" s="131"/>
      <c r="L955" s="131"/>
      <c r="M955" s="131"/>
      <c r="N955" s="131"/>
      <c r="O955" s="131"/>
      <c r="P955" s="131"/>
      <c r="Q955" s="131"/>
      <c r="R955" s="131"/>
      <c r="S955" s="131"/>
      <c r="T955" s="131"/>
      <c r="U955" s="131"/>
      <c r="V955" s="131"/>
      <c r="W955" s="131"/>
      <c r="X955" s="131"/>
      <c r="Y955" s="131"/>
    </row>
    <row r="956" spans="2:25">
      <c r="B956" s="199"/>
      <c r="G956" s="131"/>
      <c r="H956" s="131"/>
      <c r="I956" s="131"/>
      <c r="J956" s="131"/>
      <c r="K956" s="131"/>
      <c r="L956" s="131"/>
      <c r="M956" s="131"/>
      <c r="N956" s="131"/>
      <c r="O956" s="131"/>
      <c r="P956" s="131"/>
      <c r="Q956" s="131"/>
      <c r="R956" s="131"/>
      <c r="S956" s="131"/>
      <c r="T956" s="131"/>
      <c r="U956" s="131"/>
      <c r="V956" s="131"/>
      <c r="W956" s="131"/>
      <c r="X956" s="131"/>
      <c r="Y956" s="131"/>
    </row>
    <row r="957" spans="2:25">
      <c r="B957" s="199"/>
      <c r="G957" s="131"/>
      <c r="H957" s="131"/>
      <c r="I957" s="131"/>
      <c r="J957" s="131"/>
      <c r="K957" s="131"/>
      <c r="L957" s="131"/>
      <c r="M957" s="131"/>
      <c r="N957" s="131"/>
      <c r="O957" s="131"/>
      <c r="P957" s="131"/>
      <c r="Q957" s="131"/>
      <c r="R957" s="131"/>
      <c r="S957" s="131"/>
      <c r="T957" s="131"/>
      <c r="U957" s="131"/>
      <c r="V957" s="131"/>
      <c r="W957" s="131"/>
      <c r="X957" s="131"/>
      <c r="Y957" s="131"/>
    </row>
    <row r="958" spans="2:25">
      <c r="B958" s="199"/>
      <c r="G958" s="131"/>
      <c r="H958" s="131"/>
      <c r="I958" s="131"/>
      <c r="J958" s="131"/>
      <c r="K958" s="131"/>
      <c r="L958" s="131"/>
      <c r="M958" s="131"/>
      <c r="N958" s="131"/>
      <c r="O958" s="131"/>
      <c r="P958" s="131"/>
      <c r="Q958" s="131"/>
      <c r="R958" s="131"/>
      <c r="S958" s="131"/>
      <c r="T958" s="131"/>
      <c r="U958" s="131"/>
      <c r="V958" s="131"/>
      <c r="W958" s="131"/>
      <c r="X958" s="131"/>
      <c r="Y958" s="131"/>
    </row>
    <row r="959" spans="2:25">
      <c r="B959" s="199"/>
      <c r="G959" s="131"/>
      <c r="H959" s="131"/>
      <c r="I959" s="131"/>
      <c r="J959" s="131"/>
      <c r="K959" s="131"/>
      <c r="L959" s="131"/>
      <c r="M959" s="131"/>
      <c r="N959" s="131"/>
      <c r="O959" s="131"/>
      <c r="P959" s="131"/>
      <c r="Q959" s="131"/>
      <c r="R959" s="131"/>
      <c r="S959" s="131"/>
      <c r="T959" s="131"/>
      <c r="U959" s="131"/>
      <c r="V959" s="131"/>
      <c r="W959" s="131"/>
      <c r="X959" s="131"/>
      <c r="Y959" s="131"/>
    </row>
    <row r="960" spans="2:25">
      <c r="B960" s="199"/>
      <c r="G960" s="131"/>
      <c r="H960" s="131"/>
      <c r="I960" s="131"/>
      <c r="J960" s="131"/>
      <c r="K960" s="131"/>
      <c r="L960" s="131"/>
      <c r="M960" s="131"/>
      <c r="N960" s="131"/>
      <c r="O960" s="131"/>
      <c r="P960" s="131"/>
      <c r="Q960" s="131"/>
      <c r="R960" s="131"/>
      <c r="S960" s="131"/>
      <c r="T960" s="131"/>
      <c r="U960" s="131"/>
      <c r="V960" s="131"/>
      <c r="W960" s="131"/>
      <c r="X960" s="131"/>
      <c r="Y960" s="131"/>
    </row>
    <row r="962" spans="2:6">
      <c r="B962" s="202" t="s">
        <v>356</v>
      </c>
      <c r="F962" s="110"/>
    </row>
    <row r="963" spans="2:6" ht="17.25" customHeight="1">
      <c r="B963" s="203" t="s">
        <v>8</v>
      </c>
      <c r="C963" s="204" t="s">
        <v>357</v>
      </c>
      <c r="D963" s="204" t="s">
        <v>57</v>
      </c>
      <c r="E963" s="205" t="s">
        <v>358</v>
      </c>
      <c r="F963" s="201"/>
    </row>
    <row r="964" spans="2:6" ht="19.5" customHeight="1">
      <c r="B964" s="188" t="s">
        <v>42</v>
      </c>
      <c r="C964" s="189">
        <f>69257.38</f>
        <v>69257.38</v>
      </c>
      <c r="D964" s="189">
        <v>1078</v>
      </c>
      <c r="E964" s="190">
        <f>SUM(C964+D964)</f>
        <v>70335.38</v>
      </c>
      <c r="F964" s="36"/>
    </row>
    <row r="965" spans="2:6" ht="17.25" customHeight="1">
      <c r="B965" s="191" t="s">
        <v>43</v>
      </c>
      <c r="C965" s="37">
        <v>70076.06</v>
      </c>
      <c r="D965" s="37">
        <v>1543.48</v>
      </c>
      <c r="E965" s="37">
        <f t="shared" ref="E965:E989" si="7">SUM(C965+D965)</f>
        <v>71619.539999999994</v>
      </c>
      <c r="F965" s="36"/>
    </row>
    <row r="966" spans="2:6" ht="17.25" customHeight="1">
      <c r="B966" s="191" t="s">
        <v>44</v>
      </c>
      <c r="C966" s="37">
        <v>9828</v>
      </c>
      <c r="D966" s="37">
        <v>612</v>
      </c>
      <c r="E966" s="37">
        <f t="shared" si="7"/>
        <v>10440</v>
      </c>
      <c r="F966" s="36"/>
    </row>
    <row r="967" spans="2:6" ht="17.25" customHeight="1">
      <c r="B967" s="191" t="s">
        <v>188</v>
      </c>
      <c r="C967" s="37">
        <v>19698</v>
      </c>
      <c r="D967" s="37">
        <v>0</v>
      </c>
      <c r="E967" s="37">
        <f t="shared" si="7"/>
        <v>19698</v>
      </c>
      <c r="F967" s="36"/>
    </row>
    <row r="968" spans="2:6" ht="17.25" customHeight="1">
      <c r="B968" s="191" t="s">
        <v>73</v>
      </c>
      <c r="C968" s="37">
        <v>0</v>
      </c>
      <c r="D968" s="37">
        <v>0</v>
      </c>
      <c r="E968" s="37">
        <f t="shared" si="7"/>
        <v>0</v>
      </c>
      <c r="F968" s="36"/>
    </row>
    <row r="969" spans="2:6" ht="17.25" customHeight="1">
      <c r="B969" s="191" t="s">
        <v>46</v>
      </c>
      <c r="C969" s="37">
        <v>723</v>
      </c>
      <c r="D969" s="37">
        <v>154</v>
      </c>
      <c r="E969" s="37">
        <f t="shared" si="7"/>
        <v>877</v>
      </c>
      <c r="F969" s="36"/>
    </row>
    <row r="970" spans="2:6" ht="17.25" customHeight="1">
      <c r="B970" s="191" t="s">
        <v>75</v>
      </c>
      <c r="C970" s="37">
        <v>60</v>
      </c>
      <c r="D970" s="37">
        <v>20</v>
      </c>
      <c r="E970" s="37">
        <f t="shared" si="7"/>
        <v>80</v>
      </c>
      <c r="F970" s="36"/>
    </row>
    <row r="971" spans="2:6" ht="17.25" customHeight="1">
      <c r="B971" s="191" t="s">
        <v>64</v>
      </c>
      <c r="C971" s="37">
        <v>380</v>
      </c>
      <c r="D971" s="37">
        <v>100</v>
      </c>
      <c r="E971" s="37">
        <f t="shared" si="7"/>
        <v>480</v>
      </c>
      <c r="F971" s="36"/>
    </row>
    <row r="972" spans="2:6" ht="17.25" customHeight="1">
      <c r="B972" s="191" t="s">
        <v>65</v>
      </c>
      <c r="C972" s="37">
        <v>1800</v>
      </c>
      <c r="D972" s="37">
        <v>700</v>
      </c>
      <c r="E972" s="37">
        <f t="shared" si="7"/>
        <v>2500</v>
      </c>
      <c r="F972" s="36"/>
    </row>
    <row r="973" spans="2:6" ht="17.25" customHeight="1">
      <c r="B973" s="191" t="s">
        <v>160</v>
      </c>
      <c r="C973" s="37">
        <v>0</v>
      </c>
      <c r="D973" s="37">
        <v>0</v>
      </c>
      <c r="E973" s="37">
        <f t="shared" si="7"/>
        <v>0</v>
      </c>
      <c r="F973" s="36"/>
    </row>
    <row r="974" spans="2:6" ht="17.25" customHeight="1">
      <c r="B974" s="191" t="s">
        <v>74</v>
      </c>
      <c r="C974" s="37">
        <v>30080</v>
      </c>
      <c r="D974" s="37">
        <v>720</v>
      </c>
      <c r="E974" s="37">
        <f t="shared" si="7"/>
        <v>30800</v>
      </c>
      <c r="F974" s="36"/>
    </row>
    <row r="975" spans="2:6" ht="17.25" customHeight="1">
      <c r="B975" s="191" t="s">
        <v>55</v>
      </c>
      <c r="C975" s="37">
        <v>443</v>
      </c>
      <c r="D975" s="37">
        <v>100</v>
      </c>
      <c r="E975" s="37">
        <f t="shared" si="7"/>
        <v>543</v>
      </c>
      <c r="F975" s="36"/>
    </row>
    <row r="976" spans="2:6" ht="17.25" customHeight="1">
      <c r="B976" s="191" t="s">
        <v>56</v>
      </c>
      <c r="C976" s="37">
        <v>4408</v>
      </c>
      <c r="D976" s="37">
        <v>192</v>
      </c>
      <c r="E976" s="37">
        <f t="shared" si="7"/>
        <v>4600</v>
      </c>
      <c r="F976" s="36"/>
    </row>
    <row r="977" spans="2:6" ht="17.25" customHeight="1">
      <c r="B977" s="192" t="s">
        <v>53</v>
      </c>
      <c r="C977" s="37">
        <v>67985.31</v>
      </c>
      <c r="D977" s="37">
        <v>0</v>
      </c>
      <c r="E977" s="37">
        <f t="shared" si="7"/>
        <v>67985.31</v>
      </c>
      <c r="F977" s="36"/>
    </row>
    <row r="978" spans="2:6" ht="17.25" customHeight="1">
      <c r="B978" s="192" t="s">
        <v>77</v>
      </c>
      <c r="C978" s="37">
        <v>17000</v>
      </c>
      <c r="D978" s="37">
        <v>1500</v>
      </c>
      <c r="E978" s="37">
        <f t="shared" si="7"/>
        <v>18500</v>
      </c>
      <c r="F978" s="36"/>
    </row>
    <row r="979" spans="2:6" ht="17.25" customHeight="1">
      <c r="B979" s="192" t="s">
        <v>76</v>
      </c>
      <c r="C979" s="37">
        <v>324</v>
      </c>
      <c r="D979" s="37">
        <v>11300</v>
      </c>
      <c r="E979" s="37">
        <f t="shared" si="7"/>
        <v>11624</v>
      </c>
      <c r="F979" s="36"/>
    </row>
    <row r="980" spans="2:6" ht="17.25" customHeight="1">
      <c r="B980" s="192" t="s">
        <v>158</v>
      </c>
      <c r="C980" s="37">
        <v>323666.23</v>
      </c>
      <c r="D980" s="37">
        <v>54273.82</v>
      </c>
      <c r="E980" s="37">
        <f t="shared" si="7"/>
        <v>377940.05</v>
      </c>
      <c r="F980" s="36"/>
    </row>
    <row r="981" spans="2:6" ht="17.25" customHeight="1">
      <c r="B981" s="191" t="s">
        <v>66</v>
      </c>
      <c r="C981" s="37">
        <v>5377471.3200000003</v>
      </c>
      <c r="D981" s="37">
        <v>745038.36</v>
      </c>
      <c r="E981" s="37">
        <f t="shared" si="7"/>
        <v>6122509.6800000006</v>
      </c>
      <c r="F981" s="36"/>
    </row>
    <row r="982" spans="2:6" ht="17.25" customHeight="1">
      <c r="B982" s="191" t="s">
        <v>67</v>
      </c>
      <c r="C982" s="37">
        <v>1393479.39</v>
      </c>
      <c r="D982" s="37">
        <v>162471.98000000001</v>
      </c>
      <c r="E982" s="37">
        <f t="shared" si="7"/>
        <v>1555951.3699999999</v>
      </c>
      <c r="F982" s="36"/>
    </row>
    <row r="983" spans="2:6" ht="17.25" customHeight="1">
      <c r="B983" s="38" t="s">
        <v>48</v>
      </c>
      <c r="C983" s="111">
        <v>68628.92</v>
      </c>
      <c r="D983" s="37">
        <v>9776.0300000000007</v>
      </c>
      <c r="E983" s="37">
        <f t="shared" si="7"/>
        <v>78404.95</v>
      </c>
      <c r="F983" s="36"/>
    </row>
    <row r="984" spans="2:6" ht="17.25" customHeight="1">
      <c r="B984" s="191" t="s">
        <v>49</v>
      </c>
      <c r="C984" s="37">
        <v>0</v>
      </c>
      <c r="D984" s="37">
        <v>0</v>
      </c>
      <c r="E984" s="37">
        <f t="shared" si="7"/>
        <v>0</v>
      </c>
      <c r="F984" s="36"/>
    </row>
    <row r="985" spans="2:6" ht="17.25" customHeight="1">
      <c r="B985" s="191" t="s">
        <v>50</v>
      </c>
      <c r="C985" s="37">
        <v>2853684.08</v>
      </c>
      <c r="D985" s="37">
        <v>413855.79</v>
      </c>
      <c r="E985" s="37">
        <f t="shared" si="7"/>
        <v>3267539.87</v>
      </c>
      <c r="F985" s="36"/>
    </row>
    <row r="986" spans="2:6" ht="17.25" customHeight="1">
      <c r="B986" s="192" t="s">
        <v>54</v>
      </c>
      <c r="C986" s="37">
        <v>34197.64</v>
      </c>
      <c r="D986" s="37">
        <v>0</v>
      </c>
      <c r="E986" s="37">
        <f t="shared" si="7"/>
        <v>34197.64</v>
      </c>
      <c r="F986" s="36"/>
    </row>
    <row r="987" spans="2:6" ht="17.25" customHeight="1">
      <c r="B987" s="191" t="s">
        <v>51</v>
      </c>
      <c r="C987" s="37">
        <v>22018.720000000001</v>
      </c>
      <c r="D987" s="37">
        <v>10436.83</v>
      </c>
      <c r="E987" s="37">
        <f t="shared" si="7"/>
        <v>32455.550000000003</v>
      </c>
      <c r="F987" s="36"/>
    </row>
    <row r="988" spans="2:6" ht="17.25" customHeight="1">
      <c r="B988" s="191" t="s">
        <v>47</v>
      </c>
      <c r="C988" s="37">
        <v>251833</v>
      </c>
      <c r="D988" s="37">
        <v>79881</v>
      </c>
      <c r="E988" s="37">
        <f t="shared" si="7"/>
        <v>331714</v>
      </c>
      <c r="F988" s="36"/>
    </row>
    <row r="989" spans="2:6" ht="17.25" customHeight="1">
      <c r="B989" s="191" t="s">
        <v>52</v>
      </c>
      <c r="C989" s="37">
        <v>12819853</v>
      </c>
      <c r="D989" s="37">
        <v>1961640</v>
      </c>
      <c r="E989" s="37">
        <f t="shared" si="7"/>
        <v>14781493</v>
      </c>
      <c r="F989" s="36"/>
    </row>
    <row r="990" spans="2:6" ht="17.25" customHeight="1">
      <c r="B990" s="191" t="s">
        <v>338</v>
      </c>
      <c r="C990" s="86">
        <v>40000</v>
      </c>
      <c r="D990" s="194">
        <v>0</v>
      </c>
      <c r="E990" s="194">
        <f>SUM(D990)</f>
        <v>0</v>
      </c>
      <c r="F990" s="36"/>
    </row>
    <row r="991" spans="2:6" s="156" customFormat="1" ht="17.25" customHeight="1" thickBot="1">
      <c r="B991" s="195" t="s">
        <v>165</v>
      </c>
      <c r="C991" s="174">
        <f>SUM(C964:C990)</f>
        <v>23476895.050000004</v>
      </c>
      <c r="D991" s="174">
        <f>SUM(D964:D990)</f>
        <v>3455393.29</v>
      </c>
      <c r="E991" s="196">
        <f>SUM(E964:E990)</f>
        <v>26892288.340000004</v>
      </c>
      <c r="F991" s="197"/>
    </row>
    <row r="992" spans="2:6" s="156" customFormat="1" ht="17.25" customHeight="1" thickTop="1">
      <c r="B992" s="198"/>
      <c r="D992" s="197"/>
      <c r="E992" s="197"/>
      <c r="F992" s="197"/>
    </row>
    <row r="993" spans="2:25" s="156" customFormat="1" ht="17.25" customHeight="1">
      <c r="B993" s="198"/>
      <c r="C993" s="197"/>
      <c r="D993" s="197"/>
      <c r="E993" s="197"/>
      <c r="F993" s="197"/>
    </row>
    <row r="994" spans="2:25" s="156" customFormat="1" ht="17.25" customHeight="1">
      <c r="B994" s="198"/>
      <c r="C994" s="197"/>
      <c r="D994" s="197"/>
      <c r="E994" s="197"/>
      <c r="F994" s="197"/>
    </row>
    <row r="995" spans="2:25">
      <c r="B995" s="199" t="s">
        <v>269</v>
      </c>
      <c r="G995" s="200"/>
      <c r="H995" s="201"/>
      <c r="I995" s="201"/>
      <c r="J995" s="201"/>
    </row>
    <row r="996" spans="2:25">
      <c r="B996" s="199" t="s">
        <v>283</v>
      </c>
      <c r="G996" s="131"/>
      <c r="H996" s="131"/>
      <c r="I996" s="131"/>
      <c r="J996" s="131"/>
      <c r="K996" s="131"/>
      <c r="L996" s="131"/>
      <c r="M996" s="131"/>
      <c r="N996" s="131"/>
      <c r="O996" s="131"/>
      <c r="P996" s="131"/>
      <c r="Q996" s="131"/>
      <c r="R996" s="131"/>
      <c r="S996" s="131"/>
      <c r="T996" s="131"/>
      <c r="U996" s="131"/>
      <c r="V996" s="131"/>
      <c r="W996" s="131"/>
      <c r="X996" s="131"/>
      <c r="Y996" s="131"/>
    </row>
    <row r="997" spans="2:25" s="156" customFormat="1" ht="17.25" customHeight="1">
      <c r="B997" s="198"/>
      <c r="C997" s="197"/>
      <c r="D997" s="197"/>
      <c r="E997" s="197"/>
      <c r="F997" s="197"/>
    </row>
    <row r="998" spans="2:25" s="156" customFormat="1" ht="17.25" customHeight="1">
      <c r="B998" s="198"/>
      <c r="C998" s="197"/>
      <c r="D998" s="197"/>
      <c r="E998" s="197"/>
      <c r="F998" s="197"/>
    </row>
    <row r="999" spans="2:25" s="156" customFormat="1" ht="17.25" customHeight="1">
      <c r="B999" s="198"/>
      <c r="C999" s="197"/>
      <c r="D999" s="197"/>
      <c r="E999" s="197"/>
      <c r="F999" s="197"/>
    </row>
    <row r="1000" spans="2:25" s="156" customFormat="1" ht="17.25" customHeight="1">
      <c r="B1000" s="198"/>
      <c r="C1000" s="197"/>
      <c r="D1000" s="197"/>
      <c r="E1000" s="197"/>
      <c r="F1000" s="197"/>
    </row>
    <row r="1001" spans="2:25" s="156" customFormat="1" ht="17.25" customHeight="1">
      <c r="B1001" s="198"/>
      <c r="C1001" s="197"/>
      <c r="D1001" s="197"/>
      <c r="E1001" s="197"/>
      <c r="F1001" s="197"/>
    </row>
    <row r="1002" spans="2:25" s="156" customFormat="1" ht="17.25" customHeight="1">
      <c r="B1002" s="198"/>
      <c r="C1002" s="197"/>
      <c r="D1002" s="197"/>
      <c r="E1002" s="197"/>
      <c r="F1002" s="197"/>
    </row>
    <row r="1003" spans="2:25" s="156" customFormat="1" ht="17.25" customHeight="1">
      <c r="B1003" s="198"/>
      <c r="C1003" s="197"/>
      <c r="D1003" s="197"/>
      <c r="E1003" s="197"/>
      <c r="F1003" s="197"/>
    </row>
    <row r="1004" spans="2:25" s="156" customFormat="1" ht="17.25" customHeight="1">
      <c r="B1004" s="198"/>
      <c r="C1004" s="197"/>
      <c r="D1004" s="197"/>
      <c r="E1004" s="197"/>
      <c r="F1004" s="197"/>
    </row>
    <row r="1005" spans="2:25" s="156" customFormat="1" ht="17.25" customHeight="1">
      <c r="B1005" s="198"/>
      <c r="C1005" s="197"/>
      <c r="D1005" s="197"/>
      <c r="E1005" s="197"/>
      <c r="F1005" s="197"/>
    </row>
    <row r="1006" spans="2:25" s="156" customFormat="1" ht="17.25" customHeight="1">
      <c r="B1006" s="198"/>
      <c r="C1006" s="197"/>
      <c r="D1006" s="197"/>
      <c r="E1006" s="197"/>
      <c r="F1006" s="197"/>
    </row>
    <row r="1007" spans="2:25" s="156" customFormat="1" ht="17.25" customHeight="1">
      <c r="B1007" s="198"/>
      <c r="C1007" s="197"/>
      <c r="D1007" s="197"/>
      <c r="E1007" s="197"/>
      <c r="F1007" s="197"/>
    </row>
    <row r="1008" spans="2:25" s="156" customFormat="1" ht="17.25" customHeight="1">
      <c r="B1008" s="198"/>
      <c r="C1008" s="197"/>
      <c r="D1008" s="197"/>
      <c r="E1008" s="197"/>
      <c r="F1008" s="197"/>
    </row>
    <row r="1009" spans="2:10" s="156" customFormat="1" ht="17.25" customHeight="1">
      <c r="B1009" s="198"/>
      <c r="C1009" s="197"/>
      <c r="D1009" s="197"/>
      <c r="E1009" s="197"/>
      <c r="F1009" s="197"/>
    </row>
    <row r="1010" spans="2:10" s="156" customFormat="1" ht="17.25" customHeight="1">
      <c r="B1010" s="198"/>
      <c r="C1010" s="197"/>
      <c r="D1010" s="197"/>
      <c r="E1010" s="197"/>
      <c r="F1010" s="197"/>
    </row>
    <row r="1011" spans="2:10" ht="20.25" customHeight="1">
      <c r="B1011" s="206" t="s">
        <v>359</v>
      </c>
      <c r="H1011" s="131"/>
      <c r="I1011" s="131"/>
      <c r="J1011" s="131"/>
    </row>
    <row r="1012" spans="2:10" ht="18" customHeight="1">
      <c r="B1012" s="203" t="s">
        <v>8</v>
      </c>
      <c r="C1012" s="204" t="s">
        <v>58</v>
      </c>
      <c r="D1012" s="204" t="s">
        <v>59</v>
      </c>
      <c r="E1012" s="204" t="s">
        <v>60</v>
      </c>
      <c r="F1012" s="201"/>
      <c r="H1012" s="131"/>
      <c r="I1012" s="131"/>
      <c r="J1012" s="131"/>
    </row>
    <row r="1013" spans="2:10">
      <c r="B1013" s="38"/>
      <c r="C1013" s="86"/>
      <c r="D1013" s="86">
        <v>0</v>
      </c>
      <c r="E1013" s="37"/>
      <c r="F1013" s="110"/>
      <c r="H1013" s="131"/>
      <c r="I1013" s="131"/>
      <c r="J1013" s="131"/>
    </row>
    <row r="1014" spans="2:10">
      <c r="B1014" s="38"/>
      <c r="C1014" s="37"/>
      <c r="D1014" s="37"/>
      <c r="E1014" s="37"/>
      <c r="F1014" s="110"/>
      <c r="H1014" s="131"/>
      <c r="I1014" s="131"/>
      <c r="J1014" s="131"/>
    </row>
    <row r="1015" spans="2:10" ht="18" customHeight="1">
      <c r="B1015" s="282"/>
      <c r="C1015" s="37"/>
      <c r="D1015" s="37"/>
      <c r="E1015" s="37"/>
      <c r="F1015" s="36"/>
      <c r="H1015" s="131"/>
      <c r="I1015" s="131"/>
      <c r="J1015" s="131"/>
    </row>
    <row r="1016" spans="2:10" ht="18" customHeight="1">
      <c r="B1016" s="193"/>
      <c r="C1016" s="86"/>
      <c r="D1016" s="86"/>
      <c r="E1016" s="39"/>
      <c r="F1016" s="36"/>
      <c r="H1016" s="131"/>
      <c r="I1016" s="131"/>
      <c r="J1016" s="131"/>
    </row>
    <row r="1017" spans="2:10" s="156" customFormat="1" ht="20.25" customHeight="1" thickBot="1">
      <c r="B1017" s="195" t="s">
        <v>166</v>
      </c>
      <c r="C1017" s="174">
        <f>SUM(C1016:C1016)</f>
        <v>0</v>
      </c>
      <c r="D1017" s="174">
        <f>SUM(D1013:D1016)</f>
        <v>0</v>
      </c>
      <c r="E1017" s="174"/>
      <c r="F1017" s="197"/>
    </row>
    <row r="1018" spans="2:10" s="156" customFormat="1" ht="20.25" customHeight="1" thickTop="1">
      <c r="B1018" s="198"/>
      <c r="C1018" s="197"/>
      <c r="D1018" s="197"/>
      <c r="E1018" s="197"/>
      <c r="F1018" s="197"/>
    </row>
    <row r="1019" spans="2:10" ht="20.25" customHeight="1">
      <c r="B1019" s="206" t="s">
        <v>360</v>
      </c>
      <c r="H1019" s="131"/>
      <c r="I1019" s="131"/>
      <c r="J1019" s="131"/>
    </row>
    <row r="1020" spans="2:10" ht="18" customHeight="1">
      <c r="B1020" s="203" t="s">
        <v>8</v>
      </c>
      <c r="C1020" s="204" t="s">
        <v>58</v>
      </c>
      <c r="D1020" s="204" t="s">
        <v>59</v>
      </c>
      <c r="E1020" s="204" t="s">
        <v>60</v>
      </c>
      <c r="F1020" s="201"/>
      <c r="H1020" s="131"/>
      <c r="I1020" s="131"/>
      <c r="J1020" s="131"/>
    </row>
    <row r="1021" spans="2:10">
      <c r="B1021" s="207" t="s">
        <v>163</v>
      </c>
      <c r="C1021" s="37">
        <v>0</v>
      </c>
      <c r="D1021" s="37">
        <v>5000</v>
      </c>
      <c r="E1021" s="37"/>
      <c r="F1021" s="110"/>
      <c r="H1021" s="131"/>
      <c r="I1021" s="131"/>
      <c r="J1021" s="131"/>
    </row>
    <row r="1022" spans="2:10">
      <c r="B1022" s="207" t="s">
        <v>164</v>
      </c>
      <c r="C1022" s="37">
        <v>0</v>
      </c>
      <c r="D1022" s="37">
        <v>28000</v>
      </c>
      <c r="E1022" s="37"/>
      <c r="F1022" s="110"/>
      <c r="H1022" s="131"/>
      <c r="I1022" s="131"/>
      <c r="J1022" s="131"/>
    </row>
    <row r="1023" spans="2:10" ht="18" customHeight="1">
      <c r="B1023" s="207" t="s">
        <v>182</v>
      </c>
      <c r="C1023" s="37">
        <v>0</v>
      </c>
      <c r="D1023" s="37">
        <v>20000</v>
      </c>
      <c r="E1023" s="37"/>
      <c r="F1023" s="36"/>
      <c r="H1023" s="131"/>
      <c r="I1023" s="131"/>
      <c r="J1023" s="131"/>
    </row>
    <row r="1024" spans="2:10" ht="18" customHeight="1">
      <c r="B1024" s="207" t="s">
        <v>200</v>
      </c>
      <c r="C1024" s="37">
        <v>0</v>
      </c>
      <c r="D1024" s="37">
        <v>133831.48000000001</v>
      </c>
      <c r="E1024" s="37"/>
      <c r="F1024" s="36"/>
      <c r="H1024" s="131"/>
      <c r="I1024" s="131"/>
      <c r="J1024" s="131"/>
    </row>
    <row r="1025" spans="2:10">
      <c r="B1025" s="207" t="s">
        <v>201</v>
      </c>
      <c r="C1025" s="37"/>
      <c r="D1025" s="37">
        <v>98000</v>
      </c>
      <c r="E1025" s="37"/>
      <c r="F1025" s="110"/>
      <c r="H1025" s="208"/>
      <c r="I1025" s="131"/>
      <c r="J1025" s="131"/>
    </row>
    <row r="1026" spans="2:10" ht="18" customHeight="1">
      <c r="B1026" s="207" t="s">
        <v>202</v>
      </c>
      <c r="C1026" s="37"/>
      <c r="D1026" s="37">
        <v>277000</v>
      </c>
      <c r="E1026" s="37"/>
      <c r="F1026" s="36"/>
      <c r="H1026" s="131"/>
      <c r="I1026" s="131"/>
      <c r="J1026" s="131"/>
    </row>
    <row r="1027" spans="2:10" ht="18" customHeight="1">
      <c r="B1027" s="207" t="s">
        <v>203</v>
      </c>
      <c r="C1027" s="37"/>
      <c r="D1027" s="37">
        <v>198000</v>
      </c>
      <c r="E1027" s="39"/>
      <c r="F1027" s="36"/>
      <c r="H1027" s="131"/>
      <c r="I1027" s="131"/>
      <c r="J1027" s="131"/>
    </row>
    <row r="1028" spans="2:10" ht="18" customHeight="1">
      <c r="B1028" s="207" t="s">
        <v>204</v>
      </c>
      <c r="C1028" s="86"/>
      <c r="D1028" s="86">
        <v>228000</v>
      </c>
      <c r="E1028" s="39"/>
      <c r="F1028" s="36"/>
      <c r="H1028" s="131"/>
      <c r="I1028" s="131"/>
      <c r="J1028" s="131"/>
    </row>
    <row r="1029" spans="2:10" ht="18" customHeight="1">
      <c r="B1029" s="207" t="s">
        <v>205</v>
      </c>
      <c r="C1029" s="37"/>
      <c r="D1029" s="37">
        <v>199000</v>
      </c>
      <c r="E1029" s="39"/>
      <c r="F1029" s="36"/>
      <c r="H1029" s="131"/>
      <c r="I1029" s="131"/>
      <c r="J1029" s="131"/>
    </row>
    <row r="1030" spans="2:10" ht="18" customHeight="1">
      <c r="B1030" s="38" t="s">
        <v>236</v>
      </c>
      <c r="C1030" s="86"/>
      <c r="D1030" s="37">
        <v>166000</v>
      </c>
      <c r="E1030" s="39"/>
      <c r="F1030" s="36"/>
      <c r="H1030" s="131"/>
      <c r="I1030" s="131"/>
      <c r="J1030" s="131"/>
    </row>
    <row r="1031" spans="2:10" ht="18" customHeight="1">
      <c r="B1031" s="38" t="s">
        <v>237</v>
      </c>
      <c r="C1031" s="37"/>
      <c r="D1031" s="37">
        <v>445000</v>
      </c>
      <c r="E1031" s="39"/>
      <c r="F1031" s="36"/>
      <c r="H1031" s="131"/>
      <c r="I1031" s="131"/>
      <c r="J1031" s="131"/>
    </row>
    <row r="1032" spans="2:10" ht="18" customHeight="1">
      <c r="B1032" s="38" t="s">
        <v>238</v>
      </c>
      <c r="C1032" s="37"/>
      <c r="D1032" s="37">
        <v>39000</v>
      </c>
      <c r="E1032" s="39"/>
      <c r="F1032" s="36"/>
      <c r="H1032" s="131"/>
      <c r="I1032" s="131"/>
      <c r="J1032" s="131"/>
    </row>
    <row r="1033" spans="2:10" ht="18" customHeight="1">
      <c r="B1033" s="38" t="s">
        <v>272</v>
      </c>
      <c r="C1033" s="86"/>
      <c r="D1033" s="86">
        <v>521617</v>
      </c>
      <c r="E1033" s="39"/>
      <c r="F1033" s="36"/>
      <c r="H1033" s="131"/>
      <c r="I1033" s="131"/>
      <c r="J1033" s="131"/>
    </row>
    <row r="1034" spans="2:10" ht="18" customHeight="1">
      <c r="B1034" s="38" t="s">
        <v>271</v>
      </c>
      <c r="C1034" s="37"/>
      <c r="D1034" s="37"/>
      <c r="E1034" s="39"/>
      <c r="F1034" s="36"/>
      <c r="H1034" s="131"/>
      <c r="I1034" s="131"/>
      <c r="J1034" s="131"/>
    </row>
    <row r="1035" spans="2:10">
      <c r="B1035" s="207" t="s">
        <v>296</v>
      </c>
      <c r="C1035" s="86"/>
      <c r="D1035" s="86">
        <v>363000</v>
      </c>
      <c r="E1035" s="37"/>
      <c r="F1035" s="110"/>
      <c r="H1035" s="131"/>
      <c r="I1035" s="131"/>
      <c r="J1035" s="131"/>
    </row>
    <row r="1036" spans="2:10">
      <c r="B1036" s="38" t="s">
        <v>297</v>
      </c>
      <c r="C1036" s="37"/>
      <c r="D1036" s="37"/>
      <c r="E1036" s="37"/>
      <c r="F1036" s="110"/>
      <c r="H1036" s="131"/>
      <c r="I1036" s="131"/>
      <c r="J1036" s="131"/>
    </row>
    <row r="1037" spans="2:10" ht="18" customHeight="1">
      <c r="B1037" s="38" t="s">
        <v>298</v>
      </c>
      <c r="C1037" s="37"/>
      <c r="D1037" s="37">
        <v>873675.86</v>
      </c>
      <c r="E1037" s="37"/>
      <c r="F1037" s="36"/>
      <c r="H1037" s="131"/>
      <c r="I1037" s="131"/>
      <c r="J1037" s="131"/>
    </row>
    <row r="1038" spans="2:10" ht="18" customHeight="1">
      <c r="B1038" s="38" t="s">
        <v>299</v>
      </c>
      <c r="C1038" s="86"/>
      <c r="D1038" s="86"/>
      <c r="E1038" s="39"/>
      <c r="F1038" s="36"/>
      <c r="H1038" s="131"/>
      <c r="I1038" s="131"/>
      <c r="J1038" s="131"/>
    </row>
    <row r="1039" spans="2:10" ht="18" customHeight="1">
      <c r="B1039" s="38" t="s">
        <v>298</v>
      </c>
      <c r="C1039" s="86"/>
      <c r="D1039" s="86">
        <v>2534000</v>
      </c>
      <c r="E1039" s="39"/>
      <c r="F1039" s="36"/>
      <c r="H1039" s="131"/>
      <c r="I1039" s="131"/>
      <c r="J1039" s="131"/>
    </row>
    <row r="1040" spans="2:10" ht="18" customHeight="1">
      <c r="B1040" s="38" t="s">
        <v>299</v>
      </c>
      <c r="C1040" s="37"/>
      <c r="D1040" s="37"/>
      <c r="E1040" s="39"/>
      <c r="F1040" s="36"/>
      <c r="H1040" s="131"/>
      <c r="I1040" s="131"/>
      <c r="J1040" s="131"/>
    </row>
    <row r="1041" spans="2:25" ht="18" customHeight="1">
      <c r="B1041" s="282" t="s">
        <v>312</v>
      </c>
      <c r="C1041" s="37"/>
      <c r="D1041" s="37">
        <v>178000</v>
      </c>
      <c r="E1041" s="39"/>
      <c r="F1041" s="36"/>
      <c r="H1041" s="131"/>
      <c r="I1041" s="131"/>
      <c r="J1041" s="131"/>
    </row>
    <row r="1042" spans="2:25" ht="18" customHeight="1">
      <c r="B1042" s="38" t="s">
        <v>297</v>
      </c>
      <c r="C1042" s="86"/>
      <c r="D1042" s="86"/>
      <c r="E1042" s="39"/>
      <c r="F1042" s="36"/>
      <c r="H1042" s="131"/>
      <c r="I1042" s="131"/>
      <c r="J1042" s="131"/>
    </row>
    <row r="1043" spans="2:25">
      <c r="B1043" s="282" t="s">
        <v>331</v>
      </c>
      <c r="C1043" s="86"/>
      <c r="D1043" s="86">
        <v>148000</v>
      </c>
      <c r="E1043" s="37"/>
      <c r="F1043" s="110"/>
      <c r="H1043" s="131"/>
      <c r="I1043" s="131"/>
      <c r="J1043" s="131"/>
    </row>
    <row r="1044" spans="2:25">
      <c r="B1044" s="38" t="s">
        <v>330</v>
      </c>
      <c r="C1044" s="37"/>
      <c r="D1044" s="37"/>
      <c r="E1044" s="37"/>
      <c r="F1044" s="110"/>
      <c r="H1044" s="131"/>
      <c r="I1044" s="131"/>
      <c r="J1044" s="131"/>
    </row>
    <row r="1045" spans="2:25" s="156" customFormat="1" ht="20.25" customHeight="1" thickBot="1">
      <c r="B1045" s="195" t="s">
        <v>166</v>
      </c>
      <c r="C1045" s="174">
        <f>SUM(C1042:C1042)</f>
        <v>0</v>
      </c>
      <c r="D1045" s="174">
        <f>SUM(D1021:D1044)</f>
        <v>6455124.3399999999</v>
      </c>
      <c r="E1045" s="174"/>
      <c r="F1045" s="197"/>
    </row>
    <row r="1046" spans="2:25" ht="18" thickTop="1"/>
    <row r="1048" spans="2:25">
      <c r="B1048" s="199" t="s">
        <v>269</v>
      </c>
      <c r="G1048" s="200"/>
      <c r="H1048" s="201"/>
      <c r="I1048" s="201"/>
      <c r="J1048" s="201"/>
    </row>
    <row r="1049" spans="2:25">
      <c r="B1049" s="199" t="s">
        <v>283</v>
      </c>
      <c r="G1049" s="131"/>
      <c r="H1049" s="131"/>
      <c r="I1049" s="131"/>
      <c r="J1049" s="131"/>
      <c r="K1049" s="131"/>
      <c r="L1049" s="131"/>
      <c r="M1049" s="131"/>
      <c r="N1049" s="131"/>
      <c r="O1049" s="131"/>
      <c r="P1049" s="131"/>
      <c r="Q1049" s="131"/>
      <c r="R1049" s="131"/>
      <c r="S1049" s="131"/>
      <c r="T1049" s="131"/>
      <c r="U1049" s="131"/>
      <c r="V1049" s="131"/>
      <c r="W1049" s="131"/>
      <c r="X1049" s="131"/>
      <c r="Y1049" s="131"/>
    </row>
    <row r="1050" spans="2:25">
      <c r="B1050" s="199"/>
      <c r="G1050" s="131"/>
      <c r="H1050" s="131"/>
      <c r="I1050" s="131"/>
      <c r="J1050" s="131"/>
      <c r="K1050" s="131"/>
      <c r="L1050" s="131"/>
      <c r="M1050" s="131"/>
      <c r="N1050" s="131"/>
      <c r="O1050" s="131"/>
      <c r="P1050" s="131"/>
      <c r="Q1050" s="131"/>
      <c r="R1050" s="131"/>
      <c r="S1050" s="131"/>
      <c r="T1050" s="131"/>
      <c r="U1050" s="131"/>
      <c r="V1050" s="131"/>
      <c r="W1050" s="131"/>
      <c r="X1050" s="131"/>
      <c r="Y1050" s="131"/>
    </row>
    <row r="1051" spans="2:25">
      <c r="B1051" s="199"/>
      <c r="G1051" s="131"/>
      <c r="H1051" s="131"/>
      <c r="I1051" s="131"/>
      <c r="J1051" s="131"/>
      <c r="K1051" s="131"/>
      <c r="L1051" s="131"/>
      <c r="M1051" s="131"/>
      <c r="N1051" s="131"/>
      <c r="O1051" s="131"/>
      <c r="P1051" s="131"/>
      <c r="Q1051" s="131"/>
      <c r="R1051" s="131"/>
      <c r="S1051" s="131"/>
      <c r="T1051" s="131"/>
      <c r="U1051" s="131"/>
      <c r="V1051" s="131"/>
      <c r="W1051" s="131"/>
      <c r="X1051" s="131"/>
      <c r="Y1051" s="131"/>
    </row>
    <row r="1052" spans="2:25">
      <c r="B1052" s="199"/>
      <c r="G1052" s="131"/>
      <c r="H1052" s="131"/>
      <c r="I1052" s="131"/>
      <c r="J1052" s="131"/>
      <c r="K1052" s="131"/>
      <c r="L1052" s="131"/>
      <c r="M1052" s="131"/>
      <c r="N1052" s="131"/>
      <c r="O1052" s="131"/>
      <c r="P1052" s="131"/>
      <c r="Q1052" s="131"/>
      <c r="R1052" s="131"/>
      <c r="S1052" s="131"/>
      <c r="T1052" s="131"/>
      <c r="U1052" s="131"/>
      <c r="V1052" s="131"/>
      <c r="W1052" s="131"/>
      <c r="X1052" s="131"/>
      <c r="Y1052" s="131"/>
    </row>
    <row r="1053" spans="2:25">
      <c r="B1053" s="199"/>
      <c r="G1053" s="131"/>
      <c r="H1053" s="131"/>
      <c r="I1053" s="131"/>
      <c r="J1053" s="131"/>
      <c r="K1053" s="131"/>
      <c r="L1053" s="131"/>
      <c r="M1053" s="131"/>
      <c r="N1053" s="131"/>
      <c r="O1053" s="131"/>
      <c r="P1053" s="131"/>
      <c r="Q1053" s="131"/>
      <c r="R1053" s="131"/>
      <c r="S1053" s="131"/>
      <c r="T1053" s="131"/>
      <c r="U1053" s="131"/>
      <c r="V1053" s="131"/>
      <c r="W1053" s="131"/>
      <c r="X1053" s="131"/>
      <c r="Y1053" s="131"/>
    </row>
    <row r="1054" spans="2:25">
      <c r="B1054" s="199"/>
      <c r="G1054" s="131"/>
      <c r="H1054" s="131"/>
      <c r="I1054" s="131"/>
      <c r="J1054" s="131"/>
      <c r="K1054" s="131"/>
      <c r="L1054" s="131"/>
      <c r="M1054" s="131"/>
      <c r="N1054" s="131"/>
      <c r="O1054" s="131"/>
      <c r="P1054" s="131"/>
      <c r="Q1054" s="131"/>
      <c r="R1054" s="131"/>
      <c r="S1054" s="131"/>
      <c r="T1054" s="131"/>
      <c r="U1054" s="131"/>
      <c r="V1054" s="131"/>
      <c r="W1054" s="131"/>
      <c r="X1054" s="131"/>
      <c r="Y1054" s="131"/>
    </row>
    <row r="1055" spans="2:25">
      <c r="B1055" s="199"/>
      <c r="G1055" s="131"/>
      <c r="H1055" s="131"/>
      <c r="I1055" s="131"/>
      <c r="J1055" s="131"/>
      <c r="K1055" s="131"/>
      <c r="L1055" s="131"/>
      <c r="M1055" s="131"/>
      <c r="N1055" s="131"/>
      <c r="O1055" s="131"/>
      <c r="P1055" s="131"/>
      <c r="Q1055" s="131"/>
      <c r="R1055" s="131"/>
      <c r="S1055" s="131"/>
      <c r="T1055" s="131"/>
      <c r="U1055" s="131"/>
      <c r="V1055" s="131"/>
      <c r="W1055" s="131"/>
      <c r="X1055" s="131"/>
      <c r="Y1055" s="131"/>
    </row>
    <row r="1056" spans="2:25">
      <c r="B1056" s="199"/>
      <c r="G1056" s="131"/>
      <c r="H1056" s="131"/>
      <c r="I1056" s="131"/>
      <c r="J1056" s="131"/>
      <c r="K1056" s="131"/>
      <c r="L1056" s="131"/>
      <c r="M1056" s="131"/>
      <c r="N1056" s="131"/>
      <c r="O1056" s="131"/>
      <c r="P1056" s="131"/>
      <c r="Q1056" s="131"/>
      <c r="R1056" s="131"/>
      <c r="S1056" s="131"/>
      <c r="T1056" s="131"/>
      <c r="U1056" s="131"/>
      <c r="V1056" s="131"/>
      <c r="W1056" s="131"/>
      <c r="X1056" s="131"/>
      <c r="Y1056" s="131"/>
    </row>
    <row r="1057" spans="2:25">
      <c r="B1057" s="199"/>
      <c r="G1057" s="131"/>
      <c r="H1057" s="131"/>
      <c r="I1057" s="131"/>
      <c r="J1057" s="131"/>
      <c r="K1057" s="131"/>
      <c r="L1057" s="131"/>
      <c r="M1057" s="131"/>
      <c r="N1057" s="131"/>
      <c r="O1057" s="131"/>
      <c r="P1057" s="131"/>
      <c r="Q1057" s="131"/>
      <c r="R1057" s="131"/>
      <c r="S1057" s="131"/>
      <c r="T1057" s="131"/>
      <c r="U1057" s="131"/>
      <c r="V1057" s="131"/>
      <c r="W1057" s="131"/>
      <c r="X1057" s="131"/>
      <c r="Y1057" s="131"/>
    </row>
    <row r="1058" spans="2:25">
      <c r="B1058" s="199"/>
      <c r="G1058" s="131"/>
      <c r="H1058" s="131"/>
      <c r="I1058" s="131"/>
      <c r="J1058" s="131"/>
      <c r="K1058" s="131"/>
      <c r="L1058" s="131"/>
      <c r="M1058" s="131"/>
      <c r="N1058" s="131"/>
      <c r="O1058" s="131"/>
      <c r="P1058" s="131"/>
      <c r="Q1058" s="131"/>
      <c r="R1058" s="131"/>
      <c r="S1058" s="131"/>
      <c r="T1058" s="131"/>
      <c r="U1058" s="131"/>
      <c r="V1058" s="131"/>
      <c r="W1058" s="131"/>
      <c r="X1058" s="131"/>
      <c r="Y1058" s="131"/>
    </row>
    <row r="1060" spans="2:25" ht="18" customHeight="1">
      <c r="B1060" s="206" t="s">
        <v>361</v>
      </c>
    </row>
    <row r="1061" spans="2:25" ht="18" customHeight="1">
      <c r="B1061" s="203" t="s">
        <v>8</v>
      </c>
      <c r="C1061" s="204" t="s">
        <v>58</v>
      </c>
      <c r="D1061" s="204" t="s">
        <v>59</v>
      </c>
      <c r="E1061" s="204" t="s">
        <v>60</v>
      </c>
      <c r="F1061" s="201"/>
    </row>
    <row r="1062" spans="2:25" ht="18" customHeight="1">
      <c r="B1062" s="188" t="s">
        <v>61</v>
      </c>
      <c r="C1062" s="209">
        <v>8537.0300000000007</v>
      </c>
      <c r="D1062" s="209">
        <f>33901.95+1000</f>
        <v>34901.949999999997</v>
      </c>
      <c r="E1062" s="189"/>
      <c r="F1062" s="36"/>
    </row>
    <row r="1063" spans="2:25" ht="18" customHeight="1">
      <c r="B1063" s="191" t="s">
        <v>62</v>
      </c>
      <c r="C1063" s="269">
        <v>55335</v>
      </c>
      <c r="D1063" s="37">
        <v>23450</v>
      </c>
      <c r="E1063" s="37"/>
      <c r="F1063" s="210"/>
    </row>
    <row r="1064" spans="2:25" ht="18" customHeight="1">
      <c r="B1064" s="191" t="s">
        <v>153</v>
      </c>
      <c r="C1064" s="37">
        <v>0</v>
      </c>
      <c r="D1064" s="37">
        <v>0</v>
      </c>
      <c r="E1064" s="37"/>
      <c r="F1064" s="36"/>
    </row>
    <row r="1065" spans="2:25" ht="18" customHeight="1">
      <c r="B1065" s="191" t="s">
        <v>155</v>
      </c>
      <c r="C1065" s="37">
        <v>98.52</v>
      </c>
      <c r="D1065" s="37">
        <v>0</v>
      </c>
      <c r="E1065" s="37"/>
      <c r="F1065" s="36"/>
    </row>
    <row r="1066" spans="2:25" ht="18" customHeight="1">
      <c r="B1066" s="191" t="s">
        <v>156</v>
      </c>
      <c r="C1066" s="37">
        <v>10756</v>
      </c>
      <c r="D1066" s="37">
        <v>10756</v>
      </c>
      <c r="E1066" s="37"/>
      <c r="F1066" s="210"/>
    </row>
    <row r="1067" spans="2:25" ht="18" customHeight="1">
      <c r="B1067" s="191" t="s">
        <v>70</v>
      </c>
      <c r="C1067" s="37">
        <v>0</v>
      </c>
      <c r="D1067" s="37">
        <v>0</v>
      </c>
      <c r="E1067" s="37"/>
      <c r="F1067" s="211"/>
      <c r="G1067" s="212"/>
    </row>
    <row r="1068" spans="2:25" ht="18" customHeight="1">
      <c r="B1068" s="191" t="s">
        <v>157</v>
      </c>
      <c r="C1068" s="37">
        <v>0</v>
      </c>
      <c r="D1068" s="37">
        <v>0</v>
      </c>
      <c r="E1068" s="37"/>
      <c r="F1068" s="36"/>
    </row>
    <row r="1069" spans="2:25" ht="18" customHeight="1">
      <c r="B1069" s="191" t="s">
        <v>150</v>
      </c>
      <c r="C1069" s="37">
        <v>0</v>
      </c>
      <c r="D1069" s="37">
        <v>0</v>
      </c>
      <c r="E1069" s="37"/>
      <c r="F1069" s="36"/>
    </row>
    <row r="1070" spans="2:25" ht="18" customHeight="1">
      <c r="B1070" s="191" t="s">
        <v>332</v>
      </c>
      <c r="C1070" s="37">
        <v>3290</v>
      </c>
      <c r="D1070" s="86">
        <v>3290</v>
      </c>
      <c r="E1070" s="37"/>
      <c r="F1070" s="36"/>
    </row>
    <row r="1071" spans="2:25" ht="18" customHeight="1">
      <c r="B1071" s="193"/>
      <c r="C1071" s="86"/>
      <c r="D1071" s="86"/>
      <c r="E1071" s="39"/>
      <c r="F1071" s="36"/>
    </row>
    <row r="1072" spans="2:25" s="156" customFormat="1" ht="18" customHeight="1" thickBot="1">
      <c r="B1072" s="195" t="s">
        <v>27</v>
      </c>
      <c r="C1072" s="174">
        <f>SUM(C1062:C1071)</f>
        <v>78016.549999999988</v>
      </c>
      <c r="D1072" s="174">
        <f>SUM(D1062:D1071)</f>
        <v>72397.95</v>
      </c>
      <c r="E1072" s="174"/>
      <c r="F1072" s="197"/>
    </row>
    <row r="1073" spans="2:7" s="156" customFormat="1" ht="18" customHeight="1" thickTop="1">
      <c r="B1073" s="198"/>
      <c r="C1073" s="197"/>
      <c r="D1073" s="197"/>
      <c r="E1073" s="197"/>
      <c r="F1073" s="197"/>
    </row>
    <row r="1074" spans="2:7" ht="18" customHeight="1">
      <c r="B1074" s="206" t="s">
        <v>362</v>
      </c>
    </row>
    <row r="1075" spans="2:7" ht="18" customHeight="1">
      <c r="B1075" s="203" t="s">
        <v>8</v>
      </c>
      <c r="C1075" s="204" t="s">
        <v>58</v>
      </c>
      <c r="D1075" s="204" t="s">
        <v>59</v>
      </c>
      <c r="E1075" s="204" t="s">
        <v>60</v>
      </c>
      <c r="F1075" s="201"/>
    </row>
    <row r="1076" spans="2:7" ht="18" customHeight="1">
      <c r="B1076" s="188" t="s">
        <v>61</v>
      </c>
      <c r="C1076" s="209">
        <f>9751.5+7286.73+2079.17+12917.27+29601.59+3216.6+1000+34901.95+8537.03</f>
        <v>109291.84</v>
      </c>
      <c r="D1076" s="209">
        <f>3678.26+9751.5+7286.73+2079.17+12917.27+29601.59+4216.6+34901.95</f>
        <v>104433.06999999999</v>
      </c>
      <c r="E1076" s="189"/>
      <c r="F1076" s="36"/>
    </row>
    <row r="1077" spans="2:7" ht="18" customHeight="1">
      <c r="B1077" s="191" t="s">
        <v>62</v>
      </c>
      <c r="C1077" s="37">
        <f>24400+62950+23435+29400+55335</f>
        <v>195520</v>
      </c>
      <c r="D1077" s="37">
        <f>42255+1600+22700+208070+24900+9950+23450</f>
        <v>332925</v>
      </c>
      <c r="E1077" s="37"/>
      <c r="F1077" s="210"/>
    </row>
    <row r="1078" spans="2:7" ht="18" customHeight="1">
      <c r="B1078" s="191" t="s">
        <v>153</v>
      </c>
      <c r="C1078" s="37">
        <v>0</v>
      </c>
      <c r="D1078" s="37">
        <v>0</v>
      </c>
      <c r="E1078" s="37"/>
      <c r="F1078" s="36"/>
    </row>
    <row r="1079" spans="2:7" ht="18" customHeight="1">
      <c r="B1079" s="191" t="s">
        <v>155</v>
      </c>
      <c r="C1079" s="37">
        <f>31.74+18.96+558.96+2062.14+1810.26+98.52</f>
        <v>4580.5800000000008</v>
      </c>
      <c r="D1079" s="37">
        <v>5022.12</v>
      </c>
      <c r="E1079" s="37"/>
      <c r="F1079" s="36"/>
    </row>
    <row r="1080" spans="2:7" ht="18" customHeight="1">
      <c r="B1080" s="191" t="s">
        <v>156</v>
      </c>
      <c r="C1080" s="37">
        <f>11511+11850+11624+10686+10686+10686+10730+10756</f>
        <v>88529</v>
      </c>
      <c r="D1080" s="37">
        <f>11511+11850+11624+10686+10686+10686+10730+10756</f>
        <v>88529</v>
      </c>
      <c r="E1080" s="37"/>
      <c r="F1080" s="210"/>
    </row>
    <row r="1081" spans="2:7" ht="18" customHeight="1">
      <c r="B1081" s="191" t="s">
        <v>70</v>
      </c>
      <c r="C1081" s="37">
        <v>1913.58</v>
      </c>
      <c r="D1081" s="37">
        <v>0</v>
      </c>
      <c r="E1081" s="37"/>
      <c r="F1081" s="211"/>
      <c r="G1081" s="212"/>
    </row>
    <row r="1082" spans="2:7" ht="18" customHeight="1">
      <c r="B1082" s="191" t="s">
        <v>157</v>
      </c>
      <c r="C1082" s="37">
        <f>80+200+260+80</f>
        <v>620</v>
      </c>
      <c r="D1082" s="37">
        <f>80+260+200</f>
        <v>540</v>
      </c>
      <c r="E1082" s="37"/>
      <c r="F1082" s="36"/>
    </row>
    <row r="1083" spans="2:7" ht="18" customHeight="1">
      <c r="B1083" s="191" t="s">
        <v>150</v>
      </c>
      <c r="C1083" s="37">
        <v>0</v>
      </c>
      <c r="D1083" s="37">
        <v>0</v>
      </c>
      <c r="E1083" s="37"/>
      <c r="F1083" s="36"/>
    </row>
    <row r="1084" spans="2:7" ht="18" customHeight="1">
      <c r="B1084" s="191" t="s">
        <v>332</v>
      </c>
      <c r="C1084" s="37">
        <f>3290+3290+3290</f>
        <v>9870</v>
      </c>
      <c r="D1084" s="86">
        <f>3290+3290+3290</f>
        <v>9870</v>
      </c>
      <c r="E1084" s="37"/>
      <c r="F1084" s="36"/>
    </row>
    <row r="1085" spans="2:7" ht="18" customHeight="1">
      <c r="B1085" s="193"/>
      <c r="C1085" s="86"/>
      <c r="D1085" s="86"/>
      <c r="E1085" s="39"/>
      <c r="F1085" s="36"/>
    </row>
    <row r="1086" spans="2:7" s="156" customFormat="1" ht="18" customHeight="1" thickBot="1">
      <c r="B1086" s="195" t="s">
        <v>27</v>
      </c>
      <c r="C1086" s="174">
        <f>SUM(C1076:C1084)</f>
        <v>410325</v>
      </c>
      <c r="D1086" s="174">
        <f>SUM(D1076:D1084)</f>
        <v>541319.18999999994</v>
      </c>
      <c r="E1086" s="174"/>
      <c r="F1086" s="197"/>
    </row>
    <row r="1087" spans="2:7" ht="18" thickTop="1"/>
    <row r="1089" spans="2:25">
      <c r="B1089" s="199" t="s">
        <v>281</v>
      </c>
      <c r="G1089" s="200"/>
      <c r="H1089" s="201"/>
      <c r="I1089" s="201"/>
      <c r="J1089" s="201"/>
    </row>
    <row r="1090" spans="2:25">
      <c r="B1090" s="199" t="s">
        <v>282</v>
      </c>
      <c r="G1090" s="131"/>
      <c r="H1090" s="131"/>
      <c r="I1090" s="131"/>
      <c r="J1090" s="131"/>
      <c r="K1090" s="131"/>
      <c r="L1090" s="131"/>
      <c r="M1090" s="131"/>
      <c r="N1090" s="131"/>
      <c r="O1090" s="131"/>
      <c r="P1090" s="131"/>
      <c r="Q1090" s="131"/>
      <c r="R1090" s="131"/>
      <c r="S1090" s="131"/>
      <c r="T1090" s="131"/>
      <c r="U1090" s="131"/>
      <c r="V1090" s="131"/>
      <c r="W1090" s="131"/>
      <c r="X1090" s="131"/>
      <c r="Y1090" s="131"/>
    </row>
    <row r="1091" spans="2:25">
      <c r="B1091" s="199"/>
      <c r="G1091" s="131"/>
      <c r="H1091" s="131"/>
      <c r="I1091" s="131"/>
      <c r="J1091" s="131"/>
      <c r="K1091" s="131"/>
      <c r="L1091" s="131"/>
      <c r="M1091" s="131"/>
      <c r="N1091" s="131"/>
      <c r="O1091" s="131"/>
      <c r="P1091" s="131"/>
      <c r="Q1091" s="131"/>
      <c r="R1091" s="131"/>
      <c r="S1091" s="131"/>
      <c r="T1091" s="131"/>
      <c r="U1091" s="131"/>
      <c r="V1091" s="131"/>
      <c r="W1091" s="131"/>
      <c r="X1091" s="131"/>
      <c r="Y1091" s="131"/>
    </row>
    <row r="1092" spans="2:25">
      <c r="B1092" s="199"/>
      <c r="G1092" s="131"/>
      <c r="H1092" s="131"/>
      <c r="I1092" s="131"/>
      <c r="J1092" s="131"/>
      <c r="K1092" s="131"/>
      <c r="L1092" s="131"/>
      <c r="M1092" s="131"/>
      <c r="N1092" s="131"/>
      <c r="O1092" s="131"/>
      <c r="P1092" s="131"/>
      <c r="Q1092" s="131"/>
      <c r="R1092" s="131"/>
      <c r="S1092" s="131"/>
      <c r="T1092" s="131"/>
      <c r="U1092" s="131"/>
      <c r="V1092" s="131"/>
      <c r="W1092" s="131"/>
      <c r="X1092" s="131"/>
      <c r="Y1092" s="131"/>
    </row>
    <row r="1093" spans="2:25">
      <c r="B1093" s="199"/>
      <c r="G1093" s="131"/>
      <c r="H1093" s="131"/>
      <c r="I1093" s="131"/>
      <c r="J1093" s="131"/>
      <c r="K1093" s="131"/>
      <c r="L1093" s="131"/>
      <c r="M1093" s="131"/>
      <c r="N1093" s="131"/>
      <c r="O1093" s="131"/>
      <c r="P1093" s="131"/>
      <c r="Q1093" s="131"/>
      <c r="R1093" s="131"/>
      <c r="S1093" s="131"/>
      <c r="T1093" s="131"/>
      <c r="U1093" s="131"/>
      <c r="V1093" s="131"/>
      <c r="W1093" s="131"/>
      <c r="X1093" s="131"/>
      <c r="Y1093" s="131"/>
    </row>
    <row r="1094" spans="2:25">
      <c r="B1094" s="199"/>
      <c r="G1094" s="131"/>
      <c r="H1094" s="131"/>
      <c r="I1094" s="131"/>
      <c r="J1094" s="131"/>
      <c r="K1094" s="131"/>
      <c r="L1094" s="131"/>
      <c r="M1094" s="131"/>
      <c r="N1094" s="131"/>
      <c r="O1094" s="131"/>
      <c r="P1094" s="131"/>
      <c r="Q1094" s="131"/>
      <c r="R1094" s="131"/>
      <c r="S1094" s="131"/>
      <c r="T1094" s="131"/>
      <c r="U1094" s="131"/>
      <c r="V1094" s="131"/>
      <c r="W1094" s="131"/>
      <c r="X1094" s="131"/>
      <c r="Y1094" s="131"/>
    </row>
    <row r="1095" spans="2:25">
      <c r="B1095" s="199"/>
      <c r="G1095" s="131"/>
      <c r="H1095" s="131"/>
      <c r="I1095" s="131"/>
      <c r="J1095" s="131"/>
      <c r="K1095" s="131"/>
      <c r="L1095" s="131"/>
      <c r="M1095" s="131"/>
      <c r="N1095" s="131"/>
      <c r="O1095" s="131"/>
      <c r="P1095" s="131"/>
      <c r="Q1095" s="131"/>
      <c r="R1095" s="131"/>
      <c r="S1095" s="131"/>
      <c r="T1095" s="131"/>
      <c r="U1095" s="131"/>
      <c r="V1095" s="131"/>
      <c r="W1095" s="131"/>
      <c r="X1095" s="131"/>
      <c r="Y1095" s="131"/>
    </row>
    <row r="1096" spans="2:25">
      <c r="B1096" s="199"/>
      <c r="G1096" s="131"/>
      <c r="H1096" s="131"/>
      <c r="I1096" s="131"/>
      <c r="J1096" s="131"/>
      <c r="K1096" s="131"/>
      <c r="L1096" s="131"/>
      <c r="M1096" s="131"/>
      <c r="N1096" s="131"/>
      <c r="O1096" s="131"/>
      <c r="P1096" s="131"/>
      <c r="Q1096" s="131"/>
      <c r="R1096" s="131"/>
      <c r="S1096" s="131"/>
      <c r="T1096" s="131"/>
      <c r="U1096" s="131"/>
      <c r="V1096" s="131"/>
      <c r="W1096" s="131"/>
      <c r="X1096" s="131"/>
      <c r="Y1096" s="131"/>
    </row>
    <row r="1097" spans="2:25">
      <c r="B1097" s="199"/>
      <c r="G1097" s="131"/>
      <c r="H1097" s="131"/>
      <c r="I1097" s="131"/>
      <c r="J1097" s="131"/>
      <c r="K1097" s="131"/>
      <c r="L1097" s="131"/>
      <c r="M1097" s="131"/>
      <c r="N1097" s="131"/>
      <c r="O1097" s="131"/>
      <c r="P1097" s="131"/>
      <c r="Q1097" s="131"/>
      <c r="R1097" s="131"/>
      <c r="S1097" s="131"/>
      <c r="T1097" s="131"/>
      <c r="U1097" s="131"/>
      <c r="V1097" s="131"/>
      <c r="W1097" s="131"/>
      <c r="X1097" s="131"/>
      <c r="Y1097" s="131"/>
    </row>
    <row r="1098" spans="2:25">
      <c r="B1098" s="199"/>
      <c r="G1098" s="131"/>
      <c r="H1098" s="131"/>
      <c r="I1098" s="131"/>
      <c r="J1098" s="131"/>
      <c r="K1098" s="131"/>
      <c r="L1098" s="131"/>
      <c r="M1098" s="131"/>
      <c r="N1098" s="131"/>
      <c r="O1098" s="131"/>
      <c r="P1098" s="131"/>
      <c r="Q1098" s="131"/>
      <c r="R1098" s="131"/>
      <c r="S1098" s="131"/>
      <c r="T1098" s="131"/>
      <c r="U1098" s="131"/>
      <c r="V1098" s="131"/>
      <c r="W1098" s="131"/>
      <c r="X1098" s="131"/>
      <c r="Y1098" s="131"/>
    </row>
    <row r="1099" spans="2:25">
      <c r="B1099" s="199"/>
      <c r="G1099" s="131"/>
      <c r="H1099" s="131"/>
      <c r="I1099" s="131"/>
      <c r="J1099" s="131"/>
      <c r="K1099" s="131"/>
      <c r="L1099" s="131"/>
      <c r="M1099" s="131"/>
      <c r="N1099" s="131"/>
      <c r="O1099" s="131"/>
      <c r="P1099" s="131"/>
      <c r="Q1099" s="131"/>
      <c r="R1099" s="131"/>
      <c r="S1099" s="131"/>
      <c r="T1099" s="131"/>
      <c r="U1099" s="131"/>
      <c r="V1099" s="131"/>
      <c r="W1099" s="131"/>
      <c r="X1099" s="131"/>
      <c r="Y1099" s="131"/>
    </row>
    <row r="1100" spans="2:25">
      <c r="B1100" s="199"/>
      <c r="G1100" s="131"/>
      <c r="H1100" s="131"/>
      <c r="I1100" s="131"/>
      <c r="J1100" s="131"/>
      <c r="K1100" s="131"/>
      <c r="L1100" s="131"/>
      <c r="M1100" s="131"/>
      <c r="N1100" s="131"/>
      <c r="O1100" s="131"/>
      <c r="P1100" s="131"/>
      <c r="Q1100" s="131"/>
      <c r="R1100" s="131"/>
      <c r="S1100" s="131"/>
      <c r="T1100" s="131"/>
      <c r="U1100" s="131"/>
      <c r="V1100" s="131"/>
      <c r="W1100" s="131"/>
      <c r="X1100" s="131"/>
      <c r="Y1100" s="131"/>
    </row>
    <row r="1101" spans="2:25">
      <c r="B1101" s="199"/>
      <c r="G1101" s="131"/>
      <c r="H1101" s="131"/>
      <c r="I1101" s="131"/>
      <c r="J1101" s="131"/>
      <c r="K1101" s="131"/>
      <c r="L1101" s="131"/>
      <c r="M1101" s="131"/>
      <c r="N1101" s="131"/>
      <c r="O1101" s="131"/>
      <c r="P1101" s="131"/>
      <c r="Q1101" s="131"/>
      <c r="R1101" s="131"/>
      <c r="S1101" s="131"/>
      <c r="T1101" s="131"/>
      <c r="U1101" s="131"/>
      <c r="V1101" s="131"/>
      <c r="W1101" s="131"/>
      <c r="X1101" s="131"/>
      <c r="Y1101" s="131"/>
    </row>
    <row r="1102" spans="2:25">
      <c r="B1102" s="199"/>
      <c r="G1102" s="131"/>
      <c r="H1102" s="131"/>
      <c r="I1102" s="131"/>
      <c r="J1102" s="131"/>
      <c r="K1102" s="131"/>
      <c r="L1102" s="131"/>
      <c r="M1102" s="131"/>
      <c r="N1102" s="131"/>
      <c r="O1102" s="131"/>
      <c r="P1102" s="131"/>
      <c r="Q1102" s="131"/>
      <c r="R1102" s="131"/>
      <c r="S1102" s="131"/>
      <c r="T1102" s="131"/>
      <c r="U1102" s="131"/>
      <c r="V1102" s="131"/>
      <c r="W1102" s="131"/>
      <c r="X1102" s="131"/>
      <c r="Y1102" s="131"/>
    </row>
    <row r="1103" spans="2:25">
      <c r="B1103" s="199"/>
      <c r="G1103" s="131"/>
      <c r="H1103" s="131"/>
      <c r="I1103" s="131"/>
      <c r="J1103" s="131"/>
      <c r="K1103" s="131"/>
      <c r="L1103" s="131"/>
      <c r="M1103" s="131"/>
      <c r="N1103" s="131"/>
      <c r="O1103" s="131"/>
      <c r="P1103" s="131"/>
      <c r="Q1103" s="131"/>
      <c r="R1103" s="131"/>
      <c r="S1103" s="131"/>
      <c r="T1103" s="131"/>
      <c r="U1103" s="131"/>
      <c r="V1103" s="131"/>
      <c r="W1103" s="131"/>
      <c r="X1103" s="131"/>
      <c r="Y1103" s="131"/>
    </row>
    <row r="1104" spans="2:25">
      <c r="B1104" s="199"/>
      <c r="G1104" s="131"/>
      <c r="H1104" s="131"/>
      <c r="I1104" s="131"/>
      <c r="J1104" s="131"/>
      <c r="K1104" s="131"/>
      <c r="L1104" s="131"/>
      <c r="M1104" s="131"/>
      <c r="N1104" s="131"/>
      <c r="O1104" s="131"/>
      <c r="P1104" s="131"/>
      <c r="Q1104" s="131"/>
      <c r="R1104" s="131"/>
      <c r="S1104" s="131"/>
      <c r="T1104" s="131"/>
      <c r="U1104" s="131"/>
      <c r="V1104" s="131"/>
      <c r="W1104" s="131"/>
      <c r="X1104" s="131"/>
      <c r="Y1104" s="131"/>
    </row>
  </sheetData>
  <phoneticPr fontId="4" type="noConversion"/>
  <pageMargins left="0.36" right="0.28000000000000003" top="0.41" bottom="0.18" header="0.49" footer="0.16"/>
  <pageSetup paperSize="9" orientation="portrait" horizontalDpi="300" verticalDpi="3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>
  <dimension ref="A1:H330"/>
  <sheetViews>
    <sheetView topLeftCell="A325" zoomScaleNormal="100" workbookViewId="0">
      <selection activeCell="C297" sqref="C297"/>
    </sheetView>
  </sheetViews>
  <sheetFormatPr defaultRowHeight="21"/>
  <cols>
    <col min="1" max="1" width="55.140625" style="220" customWidth="1"/>
    <col min="2" max="2" width="11.5703125" style="220" customWidth="1"/>
    <col min="3" max="3" width="18.85546875" style="234" customWidth="1"/>
    <col min="4" max="4" width="17.7109375" style="234" customWidth="1"/>
    <col min="5" max="5" width="11.42578125" style="220" customWidth="1"/>
    <col min="6" max="6" width="9.140625" style="220"/>
    <col min="7" max="7" width="28" style="220" customWidth="1"/>
    <col min="8" max="8" width="25.42578125" style="220" customWidth="1"/>
    <col min="9" max="16384" width="9.140625" style="220"/>
  </cols>
  <sheetData>
    <row r="1" spans="1:7" s="2" customFormat="1" ht="21" customHeight="1">
      <c r="A1" s="305" t="s">
        <v>21</v>
      </c>
      <c r="B1" s="305"/>
      <c r="C1" s="305"/>
      <c r="D1" s="305"/>
    </row>
    <row r="2" spans="1:7" s="2" customFormat="1" ht="21.75" customHeight="1">
      <c r="A2" s="305" t="s">
        <v>28</v>
      </c>
      <c r="B2" s="305"/>
      <c r="C2" s="305"/>
      <c r="D2" s="305"/>
    </row>
    <row r="3" spans="1:7" s="2" customFormat="1" ht="22.5" customHeight="1" thickBot="1">
      <c r="A3" s="305" t="s">
        <v>223</v>
      </c>
      <c r="B3" s="305"/>
      <c r="C3" s="305"/>
      <c r="D3" s="305"/>
    </row>
    <row r="4" spans="1:7" s="2" customFormat="1" ht="18.75" customHeight="1" thickBot="1">
      <c r="A4" s="215" t="s">
        <v>8</v>
      </c>
      <c r="B4" s="215" t="s">
        <v>0</v>
      </c>
      <c r="C4" s="216" t="s">
        <v>33</v>
      </c>
      <c r="D4" s="216" t="s">
        <v>34</v>
      </c>
    </row>
    <row r="5" spans="1:7" s="2" customFormat="1" ht="18.75" customHeight="1">
      <c r="A5" s="238" t="s">
        <v>35</v>
      </c>
      <c r="B5" s="225">
        <v>11011000</v>
      </c>
      <c r="C5" s="253">
        <v>20</v>
      </c>
      <c r="D5" s="237"/>
    </row>
    <row r="6" spans="1:7" ht="20.100000000000001" customHeight="1">
      <c r="A6" s="217" t="s">
        <v>22</v>
      </c>
      <c r="B6" s="218">
        <v>11012001</v>
      </c>
      <c r="C6" s="219">
        <f>2876390.25</f>
        <v>2876390.25</v>
      </c>
      <c r="D6" s="40"/>
    </row>
    <row r="7" spans="1:7" ht="20.100000000000001" customHeight="1">
      <c r="A7" s="217" t="s">
        <v>23</v>
      </c>
      <c r="B7" s="218">
        <v>11012001</v>
      </c>
      <c r="C7" s="222">
        <v>986523.08</v>
      </c>
      <c r="D7" s="40"/>
    </row>
    <row r="8" spans="1:7" ht="20.100000000000001" customHeight="1">
      <c r="A8" s="217" t="s">
        <v>30</v>
      </c>
      <c r="B8" s="218">
        <v>11012001</v>
      </c>
      <c r="C8" s="222">
        <f>11817324.61</f>
        <v>11817324.609999999</v>
      </c>
      <c r="D8" s="40"/>
    </row>
    <row r="9" spans="1:7" ht="20.100000000000001" customHeight="1">
      <c r="A9" s="223" t="s">
        <v>136</v>
      </c>
      <c r="B9" s="218">
        <v>11012001</v>
      </c>
      <c r="C9" s="222">
        <v>5160918.7</v>
      </c>
      <c r="D9" s="40"/>
    </row>
    <row r="10" spans="1:7" ht="20.100000000000001" customHeight="1">
      <c r="A10" s="217" t="s">
        <v>91</v>
      </c>
      <c r="B10" s="218">
        <v>11012002</v>
      </c>
      <c r="C10" s="222">
        <v>2244394.81</v>
      </c>
      <c r="D10" s="40"/>
    </row>
    <row r="11" spans="1:7" ht="20.100000000000001" customHeight="1">
      <c r="A11" s="217" t="s">
        <v>40</v>
      </c>
      <c r="B11" s="218">
        <v>11012002</v>
      </c>
      <c r="C11" s="222">
        <v>1713972.37</v>
      </c>
      <c r="D11" s="40"/>
      <c r="G11" s="221">
        <f>SUM(C6:C11)</f>
        <v>24799523.82</v>
      </c>
    </row>
    <row r="12" spans="1:7" ht="18" customHeight="1">
      <c r="A12" s="217" t="s">
        <v>137</v>
      </c>
      <c r="B12" s="218">
        <v>113200</v>
      </c>
      <c r="C12" s="222">
        <v>3620000</v>
      </c>
      <c r="D12" s="40"/>
    </row>
    <row r="13" spans="1:7" ht="20.100000000000001" customHeight="1">
      <c r="A13" s="224" t="s">
        <v>71</v>
      </c>
      <c r="B13" s="225">
        <v>113500</v>
      </c>
      <c r="C13" s="226">
        <v>0</v>
      </c>
      <c r="D13" s="227"/>
    </row>
    <row r="14" spans="1:7" ht="20.100000000000001" customHeight="1">
      <c r="A14" s="217" t="s">
        <v>183</v>
      </c>
      <c r="B14" s="218">
        <v>400000</v>
      </c>
      <c r="C14" s="40"/>
      <c r="D14" s="228">
        <v>6944756.9500000002</v>
      </c>
    </row>
    <row r="15" spans="1:7" ht="20.100000000000001" customHeight="1">
      <c r="A15" s="217" t="s">
        <v>148</v>
      </c>
      <c r="B15" s="218">
        <v>211000</v>
      </c>
      <c r="C15" s="40"/>
      <c r="D15" s="219">
        <v>5711375</v>
      </c>
    </row>
    <row r="16" spans="1:7" ht="18.75" customHeight="1">
      <c r="A16" s="217" t="s">
        <v>149</v>
      </c>
      <c r="B16" s="229">
        <v>215000</v>
      </c>
      <c r="C16" s="40"/>
      <c r="D16" s="40">
        <v>1725156.32</v>
      </c>
    </row>
    <row r="17" spans="1:7" ht="18" customHeight="1">
      <c r="A17" s="217" t="s">
        <v>87</v>
      </c>
      <c r="B17" s="229">
        <v>300000</v>
      </c>
      <c r="C17" s="40"/>
      <c r="D17" s="40">
        <v>7690351.7999999998</v>
      </c>
    </row>
    <row r="18" spans="1:7" ht="17.25" customHeight="1">
      <c r="A18" s="217" t="s">
        <v>39</v>
      </c>
      <c r="B18" s="229">
        <v>320000</v>
      </c>
      <c r="C18" s="40"/>
      <c r="D18" s="40">
        <v>8270365.7300000004</v>
      </c>
    </row>
    <row r="19" spans="1:7" ht="19.5" customHeight="1">
      <c r="A19" s="217" t="s">
        <v>80</v>
      </c>
      <c r="B19" s="218">
        <v>511000</v>
      </c>
      <c r="C19" s="40">
        <v>1061311</v>
      </c>
      <c r="D19" s="40"/>
    </row>
    <row r="20" spans="1:7" ht="20.100000000000001" customHeight="1">
      <c r="A20" s="217" t="s">
        <v>81</v>
      </c>
      <c r="B20" s="218">
        <v>521000</v>
      </c>
      <c r="C20" s="40">
        <v>185460</v>
      </c>
      <c r="D20" s="40"/>
    </row>
    <row r="21" spans="1:7" ht="20.100000000000001" customHeight="1">
      <c r="A21" s="217" t="s">
        <v>82</v>
      </c>
      <c r="B21" s="218">
        <v>522000</v>
      </c>
      <c r="C21" s="40">
        <v>614934</v>
      </c>
      <c r="D21" s="40"/>
      <c r="G21" s="221">
        <f>SUM(C20:C21)</f>
        <v>800394</v>
      </c>
    </row>
    <row r="22" spans="1:7" ht="20.100000000000001" customHeight="1">
      <c r="A22" s="217" t="s">
        <v>83</v>
      </c>
      <c r="B22" s="218">
        <v>531000</v>
      </c>
      <c r="C22" s="40">
        <v>7530</v>
      </c>
      <c r="D22" s="40"/>
    </row>
    <row r="23" spans="1:7" ht="20.100000000000001" customHeight="1">
      <c r="A23" s="217" t="s">
        <v>84</v>
      </c>
      <c r="B23" s="218">
        <v>532000</v>
      </c>
      <c r="C23" s="40">
        <v>31920</v>
      </c>
      <c r="D23" s="40"/>
    </row>
    <row r="24" spans="1:7" ht="20.100000000000001" customHeight="1">
      <c r="A24" s="217" t="s">
        <v>85</v>
      </c>
      <c r="B24" s="218">
        <v>533000</v>
      </c>
      <c r="C24" s="40">
        <v>8100</v>
      </c>
      <c r="D24" s="40"/>
    </row>
    <row r="25" spans="1:7" ht="20.100000000000001" customHeight="1">
      <c r="A25" s="217" t="s">
        <v>86</v>
      </c>
      <c r="B25" s="218">
        <v>534000</v>
      </c>
      <c r="C25" s="40">
        <v>13206.98</v>
      </c>
      <c r="D25" s="40"/>
      <c r="G25" s="221">
        <f>SUM(C22:C25)</f>
        <v>60756.979999999996</v>
      </c>
    </row>
    <row r="26" spans="1:7" ht="17.25" customHeight="1">
      <c r="A26" s="217" t="s">
        <v>36</v>
      </c>
      <c r="B26" s="218">
        <v>541000</v>
      </c>
      <c r="C26" s="40">
        <v>0</v>
      </c>
      <c r="D26" s="40"/>
    </row>
    <row r="27" spans="1:7" ht="18" customHeight="1">
      <c r="A27" s="217" t="s">
        <v>37</v>
      </c>
      <c r="B27" s="218">
        <v>542000</v>
      </c>
      <c r="C27" s="40">
        <v>0</v>
      </c>
      <c r="D27" s="40"/>
    </row>
    <row r="28" spans="1:7" ht="18" customHeight="1">
      <c r="A28" s="217" t="s">
        <v>88</v>
      </c>
      <c r="B28" s="218">
        <v>551000</v>
      </c>
      <c r="C28" s="40">
        <v>0</v>
      </c>
      <c r="D28" s="40"/>
    </row>
    <row r="29" spans="1:7" ht="18.75" customHeight="1">
      <c r="A29" s="217" t="s">
        <v>89</v>
      </c>
      <c r="B29" s="218">
        <v>561000</v>
      </c>
      <c r="C29" s="40">
        <v>0</v>
      </c>
      <c r="D29" s="40"/>
      <c r="G29" s="221">
        <f>SUM(C19:C29)</f>
        <v>1922461.98</v>
      </c>
    </row>
    <row r="30" spans="1:7" ht="18.75" customHeight="1">
      <c r="A30" s="217"/>
      <c r="B30" s="218"/>
      <c r="C30" s="40"/>
      <c r="D30" s="40"/>
    </row>
    <row r="31" spans="1:7" ht="18.75" customHeight="1">
      <c r="A31" s="217"/>
      <c r="B31" s="218"/>
      <c r="C31" s="40"/>
      <c r="D31" s="40"/>
    </row>
    <row r="32" spans="1:7" ht="18.75" customHeight="1" thickBot="1">
      <c r="A32" s="224"/>
      <c r="B32" s="230"/>
      <c r="C32" s="227"/>
      <c r="D32" s="227"/>
    </row>
    <row r="33" spans="1:7" ht="20.100000000000001" customHeight="1" thickBot="1">
      <c r="A33" s="215" t="s">
        <v>97</v>
      </c>
      <c r="B33" s="231"/>
      <c r="C33" s="232">
        <f>SUM(C5:C29)</f>
        <v>30342005.800000001</v>
      </c>
      <c r="D33" s="232">
        <f>SUM(D6:D29)</f>
        <v>30342005.800000001</v>
      </c>
      <c r="G33" s="221">
        <f>C33-D33</f>
        <v>0</v>
      </c>
    </row>
    <row r="34" spans="1:7" ht="14.25" customHeight="1">
      <c r="A34" s="214"/>
      <c r="B34" s="77"/>
      <c r="C34" s="78"/>
      <c r="D34" s="78"/>
    </row>
    <row r="35" spans="1:7" ht="17.25" customHeight="1">
      <c r="A35" s="2" t="s">
        <v>5</v>
      </c>
      <c r="B35" s="2"/>
      <c r="C35" s="41"/>
      <c r="D35" s="41"/>
    </row>
    <row r="36" spans="1:7" ht="18" customHeight="1">
      <c r="A36" s="2" t="s">
        <v>224</v>
      </c>
      <c r="B36" s="2"/>
      <c r="C36" s="41"/>
      <c r="D36" s="233"/>
    </row>
    <row r="37" spans="1:7" ht="19.5" customHeight="1">
      <c r="A37" s="31" t="s">
        <v>69</v>
      </c>
      <c r="B37" s="31"/>
      <c r="C37" s="42"/>
      <c r="D37" s="42"/>
    </row>
    <row r="38" spans="1:7" ht="15.75" customHeight="1">
      <c r="A38" s="31"/>
      <c r="B38" s="31"/>
      <c r="C38" s="42"/>
      <c r="D38" s="42"/>
    </row>
    <row r="39" spans="1:7" ht="20.25" customHeight="1">
      <c r="A39" s="31" t="s">
        <v>191</v>
      </c>
      <c r="B39" s="31"/>
      <c r="C39" s="42"/>
      <c r="D39" s="42"/>
    </row>
    <row r="40" spans="1:7" ht="19.5" customHeight="1">
      <c r="A40" s="31" t="s">
        <v>161</v>
      </c>
      <c r="B40" s="31"/>
      <c r="C40" s="42"/>
      <c r="D40" s="42"/>
    </row>
    <row r="41" spans="1:7" ht="19.5" customHeight="1">
      <c r="A41" s="31"/>
      <c r="B41" s="31"/>
      <c r="C41" s="42"/>
      <c r="D41" s="42"/>
    </row>
    <row r="42" spans="1:7" ht="19.5" customHeight="1">
      <c r="A42" s="31"/>
      <c r="B42" s="31"/>
      <c r="C42" s="42"/>
      <c r="D42" s="42"/>
    </row>
    <row r="43" spans="1:7" ht="19.5" customHeight="1">
      <c r="A43" s="31"/>
      <c r="B43" s="31"/>
      <c r="C43" s="42"/>
      <c r="D43" s="42"/>
    </row>
    <row r="45" spans="1:7">
      <c r="A45" s="305" t="s">
        <v>21</v>
      </c>
      <c r="B45" s="305"/>
      <c r="C45" s="305"/>
      <c r="D45" s="305"/>
    </row>
    <row r="46" spans="1:7">
      <c r="A46" s="305" t="s">
        <v>28</v>
      </c>
      <c r="B46" s="305"/>
      <c r="C46" s="305"/>
      <c r="D46" s="305"/>
    </row>
    <row r="47" spans="1:7" ht="21.75" thickBot="1">
      <c r="A47" s="305" t="s">
        <v>226</v>
      </c>
      <c r="B47" s="305"/>
      <c r="C47" s="305"/>
      <c r="D47" s="305"/>
    </row>
    <row r="48" spans="1:7" ht="21.75" thickBot="1">
      <c r="A48" s="215" t="s">
        <v>8</v>
      </c>
      <c r="B48" s="215" t="s">
        <v>0</v>
      </c>
      <c r="C48" s="216" t="s">
        <v>33</v>
      </c>
      <c r="D48" s="216" t="s">
        <v>34</v>
      </c>
    </row>
    <row r="49" spans="1:4">
      <c r="A49" s="238" t="s">
        <v>35</v>
      </c>
      <c r="B49" s="225">
        <v>11011000</v>
      </c>
      <c r="C49" s="253">
        <v>0</v>
      </c>
      <c r="D49" s="237"/>
    </row>
    <row r="50" spans="1:4">
      <c r="A50" s="217" t="s">
        <v>22</v>
      </c>
      <c r="B50" s="218">
        <v>11012001</v>
      </c>
      <c r="C50" s="219">
        <f>2790652.25</f>
        <v>2790652.25</v>
      </c>
      <c r="D50" s="40"/>
    </row>
    <row r="51" spans="1:4">
      <c r="A51" s="217" t="s">
        <v>23</v>
      </c>
      <c r="B51" s="218">
        <v>11012001</v>
      </c>
      <c r="C51" s="222">
        <v>986523.08</v>
      </c>
      <c r="D51" s="40"/>
    </row>
    <row r="52" spans="1:4">
      <c r="A52" s="217" t="s">
        <v>30</v>
      </c>
      <c r="B52" s="218">
        <v>11012001</v>
      </c>
      <c r="C52" s="222">
        <f>10297307.26</f>
        <v>10297307.26</v>
      </c>
      <c r="D52" s="40"/>
    </row>
    <row r="53" spans="1:4">
      <c r="A53" s="223" t="s">
        <v>136</v>
      </c>
      <c r="B53" s="218">
        <v>11012001</v>
      </c>
      <c r="C53" s="222">
        <v>5160918.7</v>
      </c>
      <c r="D53" s="40"/>
    </row>
    <row r="54" spans="1:4">
      <c r="A54" s="217" t="s">
        <v>91</v>
      </c>
      <c r="B54" s="218">
        <v>11012002</v>
      </c>
      <c r="C54" s="222">
        <v>2244394.81</v>
      </c>
      <c r="D54" s="40"/>
    </row>
    <row r="55" spans="1:4">
      <c r="A55" s="217" t="s">
        <v>40</v>
      </c>
      <c r="B55" s="218">
        <v>11012002</v>
      </c>
      <c r="C55" s="222">
        <v>1713972.37</v>
      </c>
      <c r="D55" s="40"/>
    </row>
    <row r="56" spans="1:4">
      <c r="A56" s="217" t="s">
        <v>137</v>
      </c>
      <c r="B56" s="218">
        <v>113200</v>
      </c>
      <c r="C56" s="222">
        <v>3620000</v>
      </c>
      <c r="D56" s="40"/>
    </row>
    <row r="57" spans="1:4">
      <c r="A57" s="224" t="s">
        <v>71</v>
      </c>
      <c r="B57" s="225">
        <v>113500</v>
      </c>
      <c r="C57" s="226">
        <v>0</v>
      </c>
      <c r="D57" s="227"/>
    </row>
    <row r="58" spans="1:4">
      <c r="A58" s="217" t="s">
        <v>183</v>
      </c>
      <c r="B58" s="218">
        <v>400000</v>
      </c>
      <c r="C58" s="40"/>
      <c r="D58" s="228">
        <v>8509663.3000000007</v>
      </c>
    </row>
    <row r="59" spans="1:4">
      <c r="A59" s="217" t="s">
        <v>148</v>
      </c>
      <c r="B59" s="218">
        <v>211000</v>
      </c>
      <c r="C59" s="40"/>
      <c r="D59" s="219">
        <v>5061375</v>
      </c>
    </row>
    <row r="60" spans="1:4">
      <c r="A60" s="217" t="s">
        <v>230</v>
      </c>
      <c r="B60" s="229">
        <v>215000</v>
      </c>
      <c r="C60" s="40"/>
      <c r="D60" s="40">
        <v>1680516.55</v>
      </c>
    </row>
    <row r="61" spans="1:4">
      <c r="A61" s="217" t="s">
        <v>87</v>
      </c>
      <c r="B61" s="229">
        <v>300000</v>
      </c>
      <c r="C61" s="40"/>
      <c r="D61" s="40">
        <v>7690351.7999999998</v>
      </c>
    </row>
    <row r="62" spans="1:4">
      <c r="A62" s="217" t="s">
        <v>39</v>
      </c>
      <c r="B62" s="229">
        <v>320000</v>
      </c>
      <c r="C62" s="40"/>
      <c r="D62" s="40">
        <v>8270365.7300000004</v>
      </c>
    </row>
    <row r="63" spans="1:4">
      <c r="A63" s="217" t="s">
        <v>80</v>
      </c>
      <c r="B63" s="218">
        <v>511000</v>
      </c>
      <c r="C63" s="40">
        <v>1963961</v>
      </c>
      <c r="D63" s="40"/>
    </row>
    <row r="64" spans="1:4">
      <c r="A64" s="217" t="s">
        <v>81</v>
      </c>
      <c r="B64" s="218">
        <v>521000</v>
      </c>
      <c r="C64" s="40">
        <v>370920</v>
      </c>
      <c r="D64" s="40"/>
    </row>
    <row r="65" spans="1:4">
      <c r="A65" s="217" t="s">
        <v>82</v>
      </c>
      <c r="B65" s="218">
        <v>522000</v>
      </c>
      <c r="C65" s="40">
        <v>1239039</v>
      </c>
      <c r="D65" s="40"/>
    </row>
    <row r="66" spans="1:4">
      <c r="A66" s="217" t="s">
        <v>83</v>
      </c>
      <c r="B66" s="218">
        <v>531000</v>
      </c>
      <c r="C66" s="40">
        <v>23294</v>
      </c>
      <c r="D66" s="40"/>
    </row>
    <row r="67" spans="1:4">
      <c r="A67" s="217" t="s">
        <v>84</v>
      </c>
      <c r="B67" s="218">
        <v>532000</v>
      </c>
      <c r="C67" s="40">
        <v>353332</v>
      </c>
      <c r="D67" s="40"/>
    </row>
    <row r="68" spans="1:4">
      <c r="A68" s="217" t="s">
        <v>85</v>
      </c>
      <c r="B68" s="218">
        <v>533000</v>
      </c>
      <c r="C68" s="40">
        <v>86308.44</v>
      </c>
      <c r="D68" s="40"/>
    </row>
    <row r="69" spans="1:4">
      <c r="A69" s="217" t="s">
        <v>86</v>
      </c>
      <c r="B69" s="218">
        <v>534000</v>
      </c>
      <c r="C69" s="40">
        <v>39649.47</v>
      </c>
      <c r="D69" s="40"/>
    </row>
    <row r="70" spans="1:4">
      <c r="A70" s="217" t="s">
        <v>36</v>
      </c>
      <c r="B70" s="218">
        <v>541000</v>
      </c>
      <c r="C70" s="40">
        <v>0</v>
      </c>
      <c r="D70" s="40"/>
    </row>
    <row r="71" spans="1:4">
      <c r="A71" s="217" t="s">
        <v>37</v>
      </c>
      <c r="B71" s="218">
        <v>542000</v>
      </c>
      <c r="C71" s="40">
        <v>0</v>
      </c>
      <c r="D71" s="40"/>
    </row>
    <row r="72" spans="1:4">
      <c r="A72" s="217" t="s">
        <v>88</v>
      </c>
      <c r="B72" s="218">
        <v>551000</v>
      </c>
      <c r="C72" s="40">
        <v>0</v>
      </c>
      <c r="D72" s="40"/>
    </row>
    <row r="73" spans="1:4">
      <c r="A73" s="217" t="s">
        <v>89</v>
      </c>
      <c r="B73" s="218">
        <v>561000</v>
      </c>
      <c r="C73" s="40">
        <v>322000</v>
      </c>
      <c r="D73" s="40"/>
    </row>
    <row r="74" spans="1:4">
      <c r="A74" s="217"/>
      <c r="B74" s="218"/>
      <c r="C74" s="40"/>
      <c r="D74" s="40"/>
    </row>
    <row r="75" spans="1:4">
      <c r="A75" s="217"/>
      <c r="B75" s="218"/>
      <c r="C75" s="40"/>
      <c r="D75" s="40"/>
    </row>
    <row r="76" spans="1:4" ht="21.75" thickBot="1">
      <c r="A76" s="224"/>
      <c r="B76" s="230"/>
      <c r="C76" s="227"/>
      <c r="D76" s="227"/>
    </row>
    <row r="77" spans="1:4" ht="21.75" thickBot="1">
      <c r="A77" s="215" t="s">
        <v>97</v>
      </c>
      <c r="B77" s="231"/>
      <c r="C77" s="232">
        <f>SUM(C49:C73)</f>
        <v>31212272.379999999</v>
      </c>
      <c r="D77" s="232">
        <f>SUM(D50:D73)</f>
        <v>31212272.380000003</v>
      </c>
    </row>
    <row r="78" spans="1:4">
      <c r="A78" s="241"/>
      <c r="B78" s="77"/>
      <c r="C78" s="78"/>
      <c r="D78" s="78"/>
    </row>
    <row r="79" spans="1:4">
      <c r="A79" s="2" t="s">
        <v>5</v>
      </c>
      <c r="B79" s="2"/>
      <c r="C79" s="41"/>
      <c r="D79" s="41"/>
    </row>
    <row r="80" spans="1:4">
      <c r="A80" s="2" t="s">
        <v>243</v>
      </c>
      <c r="B80" s="2"/>
      <c r="C80" s="41"/>
      <c r="D80" s="233"/>
    </row>
    <row r="81" spans="1:4">
      <c r="A81" s="31" t="s">
        <v>69</v>
      </c>
      <c r="B81" s="31"/>
      <c r="C81" s="42"/>
      <c r="D81" s="42"/>
    </row>
    <row r="82" spans="1:4">
      <c r="A82" s="31"/>
      <c r="B82" s="31"/>
      <c r="C82" s="42"/>
      <c r="D82" s="42"/>
    </row>
    <row r="83" spans="1:4">
      <c r="A83" s="31" t="s">
        <v>191</v>
      </c>
      <c r="B83" s="31"/>
      <c r="C83" s="42"/>
      <c r="D83" s="42"/>
    </row>
    <row r="84" spans="1:4">
      <c r="A84" s="31" t="s">
        <v>161</v>
      </c>
      <c r="B84" s="31"/>
      <c r="C84" s="42"/>
      <c r="D84" s="42"/>
    </row>
    <row r="85" spans="1:4">
      <c r="A85" s="305" t="s">
        <v>21</v>
      </c>
      <c r="B85" s="305"/>
      <c r="C85" s="305"/>
      <c r="D85" s="305"/>
    </row>
    <row r="86" spans="1:4">
      <c r="A86" s="305" t="s">
        <v>28</v>
      </c>
      <c r="B86" s="305"/>
      <c r="C86" s="305"/>
      <c r="D86" s="305"/>
    </row>
    <row r="87" spans="1:4" ht="21.75" thickBot="1">
      <c r="A87" s="305" t="s">
        <v>284</v>
      </c>
      <c r="B87" s="305"/>
      <c r="C87" s="305"/>
      <c r="D87" s="305"/>
    </row>
    <row r="88" spans="1:4" ht="21.75" thickBot="1">
      <c r="A88" s="215" t="s">
        <v>8</v>
      </c>
      <c r="B88" s="215" t="s">
        <v>0</v>
      </c>
      <c r="C88" s="216" t="s">
        <v>33</v>
      </c>
      <c r="D88" s="216" t="s">
        <v>34</v>
      </c>
    </row>
    <row r="89" spans="1:4">
      <c r="A89" s="238" t="s">
        <v>35</v>
      </c>
      <c r="B89" s="225">
        <v>11011000</v>
      </c>
      <c r="C89" s="253">
        <v>0</v>
      </c>
      <c r="D89" s="237"/>
    </row>
    <row r="90" spans="1:4">
      <c r="A90" s="217" t="s">
        <v>22</v>
      </c>
      <c r="B90" s="218">
        <v>11012001</v>
      </c>
      <c r="C90" s="219">
        <f>2790652.25+245-90300+27386</f>
        <v>2727983.25</v>
      </c>
      <c r="D90" s="40"/>
    </row>
    <row r="91" spans="1:4">
      <c r="A91" s="217" t="s">
        <v>23</v>
      </c>
      <c r="B91" s="218">
        <v>11012001</v>
      </c>
      <c r="C91" s="222">
        <v>986523.08</v>
      </c>
      <c r="D91" s="40"/>
    </row>
    <row r="92" spans="1:4">
      <c r="A92" s="217" t="s">
        <v>30</v>
      </c>
      <c r="B92" s="218">
        <v>11012001</v>
      </c>
      <c r="C92" s="222">
        <f>10297307.26+1530341.63-2553072.2-245</f>
        <v>9274331.6900000013</v>
      </c>
      <c r="D92" s="40"/>
    </row>
    <row r="93" spans="1:4">
      <c r="A93" s="223" t="s">
        <v>136</v>
      </c>
      <c r="B93" s="218">
        <v>11012001</v>
      </c>
      <c r="C93" s="222">
        <v>5160918.7</v>
      </c>
      <c r="D93" s="40"/>
    </row>
    <row r="94" spans="1:4">
      <c r="A94" s="217" t="s">
        <v>91</v>
      </c>
      <c r="B94" s="218">
        <v>11012002</v>
      </c>
      <c r="C94" s="222">
        <v>2244394.81</v>
      </c>
      <c r="D94" s="40"/>
    </row>
    <row r="95" spans="1:4">
      <c r="A95" s="217" t="s">
        <v>40</v>
      </c>
      <c r="B95" s="218">
        <v>11012002</v>
      </c>
      <c r="C95" s="222">
        <v>1713972.37</v>
      </c>
      <c r="D95" s="40"/>
    </row>
    <row r="96" spans="1:4">
      <c r="A96" s="217" t="s">
        <v>137</v>
      </c>
      <c r="B96" s="17" t="s">
        <v>255</v>
      </c>
      <c r="C96" s="222">
        <v>3620000</v>
      </c>
      <c r="D96" s="40"/>
    </row>
    <row r="97" spans="1:4">
      <c r="A97" s="224" t="s">
        <v>285</v>
      </c>
      <c r="B97" s="20" t="s">
        <v>256</v>
      </c>
      <c r="C97" s="226">
        <f>1500+240800+559100+31948-801400-13184-5340-5340</f>
        <v>8084</v>
      </c>
      <c r="D97" s="227"/>
    </row>
    <row r="98" spans="1:4">
      <c r="A98" s="217" t="s">
        <v>71</v>
      </c>
      <c r="B98" s="229">
        <v>11045000</v>
      </c>
      <c r="C98" s="222">
        <v>0</v>
      </c>
      <c r="D98" s="40"/>
    </row>
    <row r="99" spans="1:4">
      <c r="A99" s="217" t="s">
        <v>183</v>
      </c>
      <c r="B99" s="218">
        <v>40000000</v>
      </c>
      <c r="C99" s="40"/>
      <c r="D99" s="228">
        <f>8509663.3+1533327.63</f>
        <v>10042990.93</v>
      </c>
    </row>
    <row r="100" spans="1:4">
      <c r="A100" s="217" t="s">
        <v>148</v>
      </c>
      <c r="B100" s="218">
        <v>21010000</v>
      </c>
      <c r="C100" s="40"/>
      <c r="D100" s="219">
        <f>5061375-521617</f>
        <v>4539758</v>
      </c>
    </row>
    <row r="101" spans="1:4">
      <c r="A101" s="217" t="s">
        <v>230</v>
      </c>
      <c r="B101" s="229">
        <v>21040000</v>
      </c>
      <c r="C101" s="40"/>
      <c r="D101" s="40">
        <f>1680516.55+24400+2079.17+11624-7286.73-1600-11624-80</f>
        <v>1698028.99</v>
      </c>
    </row>
    <row r="102" spans="1:4">
      <c r="A102" s="217" t="s">
        <v>87</v>
      </c>
      <c r="B102" s="229">
        <v>31000000</v>
      </c>
      <c r="C102" s="40"/>
      <c r="D102" s="40">
        <v>7690351.7999999998</v>
      </c>
    </row>
    <row r="103" spans="1:4">
      <c r="A103" s="217" t="s">
        <v>39</v>
      </c>
      <c r="B103" s="229">
        <v>32000000</v>
      </c>
      <c r="C103" s="40"/>
      <c r="D103" s="40">
        <v>8270365.7300000004</v>
      </c>
    </row>
    <row r="104" spans="1:4">
      <c r="A104" s="217" t="s">
        <v>80</v>
      </c>
      <c r="B104" s="218">
        <v>51100000</v>
      </c>
      <c r="C104" s="40">
        <f>1963961+801400+101924</f>
        <v>2867285</v>
      </c>
      <c r="D104" s="40"/>
    </row>
    <row r="105" spans="1:4">
      <c r="A105" s="217" t="s">
        <v>81</v>
      </c>
      <c r="B105" s="218">
        <v>52100000</v>
      </c>
      <c r="C105" s="40">
        <f>370920+185460</f>
        <v>556380</v>
      </c>
      <c r="D105" s="40"/>
    </row>
    <row r="106" spans="1:4">
      <c r="A106" s="217" t="s">
        <v>82</v>
      </c>
      <c r="B106" s="218">
        <v>52200000</v>
      </c>
      <c r="C106" s="40">
        <f>1239039+619579</f>
        <v>1858618</v>
      </c>
      <c r="D106" s="40"/>
    </row>
    <row r="107" spans="1:4">
      <c r="A107" s="217" t="s">
        <v>83</v>
      </c>
      <c r="B107" s="218">
        <v>53100000</v>
      </c>
      <c r="C107" s="40">
        <f>23294+5430</f>
        <v>28724</v>
      </c>
      <c r="D107" s="40"/>
    </row>
    <row r="108" spans="1:4">
      <c r="A108" s="217" t="s">
        <v>84</v>
      </c>
      <c r="B108" s="218">
        <v>53200000</v>
      </c>
      <c r="C108" s="40">
        <f>353332+334687.16+13184+5340+5340</f>
        <v>711883.15999999992</v>
      </c>
      <c r="D108" s="40"/>
    </row>
    <row r="109" spans="1:4">
      <c r="A109" s="217" t="s">
        <v>85</v>
      </c>
      <c r="B109" s="218">
        <v>53300000</v>
      </c>
      <c r="C109" s="40">
        <f>86308.44+21820.9</f>
        <v>108129.34</v>
      </c>
      <c r="D109" s="40"/>
    </row>
    <row r="110" spans="1:4">
      <c r="A110" s="217" t="s">
        <v>86</v>
      </c>
      <c r="B110" s="218">
        <v>53400000</v>
      </c>
      <c r="C110" s="40">
        <f>39649.47+12618.58</f>
        <v>52268.05</v>
      </c>
      <c r="D110" s="40"/>
    </row>
    <row r="111" spans="1:4">
      <c r="A111" s="217" t="s">
        <v>36</v>
      </c>
      <c r="B111" s="218">
        <v>54100000</v>
      </c>
      <c r="C111" s="40">
        <v>0</v>
      </c>
      <c r="D111" s="40"/>
    </row>
    <row r="112" spans="1:4">
      <c r="A112" s="217" t="s">
        <v>37</v>
      </c>
      <c r="B112" s="218">
        <v>54200000</v>
      </c>
      <c r="C112" s="40">
        <v>0</v>
      </c>
      <c r="D112" s="40"/>
    </row>
    <row r="113" spans="1:8">
      <c r="A113" s="217" t="s">
        <v>88</v>
      </c>
      <c r="B113" s="218">
        <v>55100000</v>
      </c>
      <c r="C113" s="40">
        <v>0</v>
      </c>
      <c r="D113" s="40"/>
    </row>
    <row r="114" spans="1:8">
      <c r="A114" s="217" t="s">
        <v>89</v>
      </c>
      <c r="B114" s="218">
        <v>56100000</v>
      </c>
      <c r="C114" s="40">
        <v>322000</v>
      </c>
      <c r="D114" s="40"/>
    </row>
    <row r="115" spans="1:8">
      <c r="A115" s="217"/>
      <c r="B115" s="218"/>
      <c r="C115" s="40"/>
      <c r="D115" s="40"/>
    </row>
    <row r="116" spans="1:8">
      <c r="A116" s="217"/>
      <c r="B116" s="218"/>
      <c r="C116" s="40"/>
      <c r="D116" s="40"/>
    </row>
    <row r="117" spans="1:8" ht="21.75" thickBot="1">
      <c r="A117" s="224"/>
      <c r="B117" s="230"/>
      <c r="C117" s="227"/>
      <c r="D117" s="227"/>
      <c r="H117" s="221">
        <f>SUM(C104:C114)</f>
        <v>6505287.5499999998</v>
      </c>
    </row>
    <row r="118" spans="1:8" ht="21.75" thickBot="1">
      <c r="A118" s="215" t="s">
        <v>97</v>
      </c>
      <c r="B118" s="231"/>
      <c r="C118" s="232">
        <f>SUM(C89:C114)</f>
        <v>32241495.450000003</v>
      </c>
      <c r="D118" s="232">
        <f>SUM(D90:D114)</f>
        <v>32241495.449999999</v>
      </c>
      <c r="G118" s="221">
        <f>SUM(C118-D118)</f>
        <v>3.7252902984619141E-9</v>
      </c>
    </row>
    <row r="119" spans="1:8" ht="12.75" customHeight="1">
      <c r="A119" s="265"/>
      <c r="B119" s="77"/>
      <c r="C119" s="78"/>
      <c r="D119" s="78"/>
    </row>
    <row r="120" spans="1:8">
      <c r="A120" s="2" t="s">
        <v>5</v>
      </c>
      <c r="B120" s="2"/>
      <c r="C120" s="41"/>
      <c r="D120" s="41"/>
    </row>
    <row r="121" spans="1:8">
      <c r="A121" s="2" t="s">
        <v>286</v>
      </c>
      <c r="B121" s="2"/>
      <c r="C121" s="41"/>
      <c r="D121" s="233"/>
    </row>
    <row r="122" spans="1:8">
      <c r="A122" s="31" t="s">
        <v>69</v>
      </c>
      <c r="B122" s="31"/>
      <c r="C122" s="42"/>
      <c r="D122" s="42"/>
    </row>
    <row r="123" spans="1:8">
      <c r="A123" s="31"/>
      <c r="B123" s="31"/>
      <c r="C123" s="42"/>
      <c r="D123" s="42"/>
    </row>
    <row r="124" spans="1:8">
      <c r="A124" s="31" t="s">
        <v>191</v>
      </c>
      <c r="B124" s="31"/>
      <c r="C124" s="42"/>
      <c r="D124" s="42"/>
    </row>
    <row r="125" spans="1:8">
      <c r="A125" s="31" t="s">
        <v>161</v>
      </c>
      <c r="B125" s="31"/>
      <c r="C125" s="42"/>
      <c r="D125" s="42"/>
    </row>
    <row r="126" spans="1:8">
      <c r="A126" s="305" t="s">
        <v>21</v>
      </c>
      <c r="B126" s="305"/>
      <c r="C126" s="305"/>
      <c r="D126" s="305"/>
    </row>
    <row r="127" spans="1:8">
      <c r="A127" s="305" t="s">
        <v>28</v>
      </c>
      <c r="B127" s="305"/>
      <c r="C127" s="305"/>
      <c r="D127" s="305"/>
    </row>
    <row r="128" spans="1:8" ht="21.75" thickBot="1">
      <c r="A128" s="305" t="s">
        <v>300</v>
      </c>
      <c r="B128" s="305"/>
      <c r="C128" s="305"/>
      <c r="D128" s="305"/>
    </row>
    <row r="129" spans="1:4" ht="21.75" thickBot="1">
      <c r="A129" s="215" t="s">
        <v>8</v>
      </c>
      <c r="B129" s="215" t="s">
        <v>0</v>
      </c>
      <c r="C129" s="216" t="s">
        <v>33</v>
      </c>
      <c r="D129" s="216" t="s">
        <v>34</v>
      </c>
    </row>
    <row r="130" spans="1:4">
      <c r="A130" s="238" t="s">
        <v>35</v>
      </c>
      <c r="B130" s="225">
        <v>11011000</v>
      </c>
      <c r="C130" s="253">
        <v>550</v>
      </c>
      <c r="D130" s="237"/>
    </row>
    <row r="131" spans="1:4">
      <c r="A131" s="217" t="s">
        <v>22</v>
      </c>
      <c r="B131" s="218">
        <v>11012001</v>
      </c>
      <c r="C131" s="219">
        <f>2790652.25+245-90300+27386+4115-90100</f>
        <v>2641998.25</v>
      </c>
      <c r="D131" s="40"/>
    </row>
    <row r="132" spans="1:4">
      <c r="A132" s="217" t="s">
        <v>23</v>
      </c>
      <c r="B132" s="218">
        <v>11012001</v>
      </c>
      <c r="C132" s="222">
        <v>986523.08</v>
      </c>
      <c r="D132" s="40"/>
    </row>
    <row r="133" spans="1:4">
      <c r="A133" s="217" t="s">
        <v>30</v>
      </c>
      <c r="B133" s="218">
        <v>11012001</v>
      </c>
      <c r="C133" s="222">
        <f>10297307.26+1530341.63-2553072.2-245+6808844.98-3361283.66</f>
        <v>12721893.010000002</v>
      </c>
      <c r="D133" s="40"/>
    </row>
    <row r="134" spans="1:4">
      <c r="A134" s="223" t="s">
        <v>136</v>
      </c>
      <c r="B134" s="218">
        <v>11012001</v>
      </c>
      <c r="C134" s="222">
        <v>5160918.7</v>
      </c>
      <c r="D134" s="40"/>
    </row>
    <row r="135" spans="1:4">
      <c r="A135" s="217" t="s">
        <v>91</v>
      </c>
      <c r="B135" s="218">
        <v>11012002</v>
      </c>
      <c r="C135" s="222">
        <v>2244394.81</v>
      </c>
      <c r="D135" s="40"/>
    </row>
    <row r="136" spans="1:4">
      <c r="A136" s="217" t="s">
        <v>40</v>
      </c>
      <c r="B136" s="218">
        <v>11012002</v>
      </c>
      <c r="C136" s="222">
        <f>1713972.37+17996.71</f>
        <v>1731969.08</v>
      </c>
      <c r="D136" s="40"/>
    </row>
    <row r="137" spans="1:4">
      <c r="A137" s="217" t="s">
        <v>137</v>
      </c>
      <c r="B137" s="17" t="s">
        <v>255</v>
      </c>
      <c r="C137" s="222">
        <f>3620000-873675.86</f>
        <v>2746324.14</v>
      </c>
      <c r="D137" s="40"/>
    </row>
    <row r="138" spans="1:4">
      <c r="A138" s="224" t="s">
        <v>285</v>
      </c>
      <c r="B138" s="20" t="s">
        <v>256</v>
      </c>
      <c r="C138" s="226">
        <f>1500+240800+559100+31948-801400-13184-5340-5340+20416+1500+242400+566700-3242-3242-2000-7712-3960-810600-4000</f>
        <v>4344</v>
      </c>
      <c r="D138" s="227"/>
    </row>
    <row r="139" spans="1:4">
      <c r="A139" s="217" t="s">
        <v>71</v>
      </c>
      <c r="B139" s="229">
        <v>11045000</v>
      </c>
      <c r="C139" s="222">
        <v>0</v>
      </c>
      <c r="D139" s="40"/>
    </row>
    <row r="140" spans="1:4">
      <c r="A140" s="217" t="s">
        <v>183</v>
      </c>
      <c r="B140" s="218">
        <v>40000000</v>
      </c>
      <c r="C140" s="40"/>
      <c r="D140" s="228">
        <f>8509663.3+1533327.63+5953811.87</f>
        <v>15996802.800000001</v>
      </c>
    </row>
    <row r="141" spans="1:4">
      <c r="A141" s="217" t="s">
        <v>148</v>
      </c>
      <c r="B141" s="218">
        <v>21010000</v>
      </c>
      <c r="C141" s="40"/>
      <c r="D141" s="219">
        <f>5061375-521617-1236675.86</f>
        <v>3303082.1399999997</v>
      </c>
    </row>
    <row r="142" spans="1:4">
      <c r="A142" s="217" t="s">
        <v>230</v>
      </c>
      <c r="B142" s="229">
        <v>21040000</v>
      </c>
      <c r="C142" s="40"/>
      <c r="D142" s="40">
        <f>1680516.55+24400+2079.17+11624-7286.73-1600-11624-80-2079.17-22700-10686+12917.27+10686+18.96</f>
        <v>1686186.05</v>
      </c>
    </row>
    <row r="143" spans="1:4">
      <c r="A143" s="217" t="s">
        <v>87</v>
      </c>
      <c r="B143" s="229">
        <v>31000000</v>
      </c>
      <c r="C143" s="40"/>
      <c r="D143" s="40">
        <v>7690351.7999999998</v>
      </c>
    </row>
    <row r="144" spans="1:4">
      <c r="A144" s="217" t="s">
        <v>39</v>
      </c>
      <c r="B144" s="229">
        <v>32000000</v>
      </c>
      <c r="C144" s="40"/>
      <c r="D144" s="40">
        <v>8270365.7300000004</v>
      </c>
    </row>
    <row r="145" spans="1:8">
      <c r="A145" s="217" t="s">
        <v>80</v>
      </c>
      <c r="B145" s="218">
        <v>51100000</v>
      </c>
      <c r="C145" s="40">
        <f>1963961+801400+101924+112368+810600</f>
        <v>3790253</v>
      </c>
      <c r="D145" s="40"/>
    </row>
    <row r="146" spans="1:8">
      <c r="A146" s="217" t="s">
        <v>81</v>
      </c>
      <c r="B146" s="218">
        <v>52100000</v>
      </c>
      <c r="C146" s="40">
        <f>370920+185460+185460</f>
        <v>741840</v>
      </c>
      <c r="D146" s="40"/>
    </row>
    <row r="147" spans="1:8">
      <c r="A147" s="217" t="s">
        <v>82</v>
      </c>
      <c r="B147" s="218">
        <v>52200000</v>
      </c>
      <c r="C147" s="40">
        <f>1239039+619579+600820</f>
        <v>2459438</v>
      </c>
      <c r="D147" s="40"/>
    </row>
    <row r="148" spans="1:8">
      <c r="A148" s="217" t="s">
        <v>83</v>
      </c>
      <c r="B148" s="218">
        <v>53100000</v>
      </c>
      <c r="C148" s="40">
        <f>23294+5430+30030</f>
        <v>58754</v>
      </c>
      <c r="D148" s="40"/>
    </row>
    <row r="149" spans="1:8">
      <c r="A149" s="217" t="s">
        <v>84</v>
      </c>
      <c r="B149" s="218">
        <v>53200000</v>
      </c>
      <c r="C149" s="40">
        <f>353332+334687.16+13184+5340+5340+59809+3242+3242+2000+7712+3960</f>
        <v>791848.15999999992</v>
      </c>
      <c r="D149" s="40"/>
    </row>
    <row r="150" spans="1:8">
      <c r="A150" s="217" t="s">
        <v>85</v>
      </c>
      <c r="B150" s="218">
        <v>53300000</v>
      </c>
      <c r="C150" s="40">
        <f>86308.44+21820.9+74094.42</f>
        <v>182223.76</v>
      </c>
      <c r="D150" s="40"/>
    </row>
    <row r="151" spans="1:8">
      <c r="A151" s="217" t="s">
        <v>86</v>
      </c>
      <c r="B151" s="218">
        <v>53400000</v>
      </c>
      <c r="C151" s="40">
        <f>39649.47+12618.58+12248.48</f>
        <v>64516.53</v>
      </c>
      <c r="D151" s="40"/>
    </row>
    <row r="152" spans="1:8">
      <c r="A152" s="217" t="s">
        <v>36</v>
      </c>
      <c r="B152" s="218">
        <v>54100000</v>
      </c>
      <c r="C152" s="40">
        <v>0</v>
      </c>
      <c r="D152" s="40"/>
    </row>
    <row r="153" spans="1:8">
      <c r="A153" s="217" t="s">
        <v>37</v>
      </c>
      <c r="B153" s="218">
        <v>54200000</v>
      </c>
      <c r="C153" s="40">
        <v>0</v>
      </c>
      <c r="D153" s="40"/>
    </row>
    <row r="154" spans="1:8">
      <c r="A154" s="217" t="s">
        <v>88</v>
      </c>
      <c r="B154" s="218">
        <v>55100000</v>
      </c>
      <c r="C154" s="40">
        <v>0</v>
      </c>
      <c r="D154" s="40"/>
    </row>
    <row r="155" spans="1:8">
      <c r="A155" s="217" t="s">
        <v>89</v>
      </c>
      <c r="B155" s="218">
        <v>56100000</v>
      </c>
      <c r="C155" s="40">
        <f>322000+297000</f>
        <v>619000</v>
      </c>
      <c r="D155" s="40"/>
    </row>
    <row r="156" spans="1:8">
      <c r="A156" s="217"/>
      <c r="B156" s="218"/>
      <c r="C156" s="40"/>
      <c r="D156" s="40"/>
    </row>
    <row r="157" spans="1:8">
      <c r="A157" s="217"/>
      <c r="B157" s="218"/>
      <c r="C157" s="40"/>
      <c r="D157" s="40"/>
    </row>
    <row r="158" spans="1:8" ht="21.75" thickBot="1">
      <c r="A158" s="224"/>
      <c r="B158" s="230"/>
      <c r="C158" s="227"/>
      <c r="D158" s="227"/>
      <c r="H158" s="221">
        <f>SUM(C145:C155)</f>
        <v>8707873.4499999993</v>
      </c>
    </row>
    <row r="159" spans="1:8" ht="21.75" thickBot="1">
      <c r="A159" s="215" t="s">
        <v>97</v>
      </c>
      <c r="B159" s="231"/>
      <c r="C159" s="232">
        <f>SUM(C130:C155)</f>
        <v>36946788.519999996</v>
      </c>
      <c r="D159" s="232">
        <f>SUM(D131:D155)</f>
        <v>36946788.520000003</v>
      </c>
      <c r="G159" s="221">
        <f>SUM(C159-D159)</f>
        <v>-7.4505805969238281E-9</v>
      </c>
    </row>
    <row r="160" spans="1:8" ht="12.75" customHeight="1">
      <c r="A160" s="271"/>
      <c r="B160" s="77"/>
      <c r="C160" s="78"/>
      <c r="D160" s="78"/>
    </row>
    <row r="161" spans="1:4">
      <c r="A161" s="2" t="s">
        <v>5</v>
      </c>
      <c r="B161" s="2"/>
      <c r="C161" s="41"/>
      <c r="D161" s="41"/>
    </row>
    <row r="162" spans="1:4">
      <c r="A162" s="2" t="s">
        <v>303</v>
      </c>
      <c r="B162" s="2"/>
      <c r="C162" s="41"/>
      <c r="D162" s="233"/>
    </row>
    <row r="163" spans="1:4">
      <c r="A163" s="31" t="s">
        <v>69</v>
      </c>
      <c r="B163" s="31"/>
      <c r="C163" s="42"/>
      <c r="D163" s="42"/>
    </row>
    <row r="164" spans="1:4">
      <c r="A164" s="31"/>
      <c r="B164" s="31"/>
      <c r="C164" s="42"/>
      <c r="D164" s="42"/>
    </row>
    <row r="165" spans="1:4">
      <c r="A165" s="31" t="s">
        <v>191</v>
      </c>
      <c r="B165" s="31"/>
      <c r="C165" s="42"/>
      <c r="D165" s="42"/>
    </row>
    <row r="166" spans="1:4">
      <c r="A166" s="31" t="s">
        <v>161</v>
      </c>
      <c r="B166" s="31"/>
      <c r="C166" s="42"/>
      <c r="D166" s="42"/>
    </row>
    <row r="167" spans="1:4">
      <c r="A167" s="305" t="s">
        <v>21</v>
      </c>
      <c r="B167" s="305"/>
      <c r="C167" s="305"/>
      <c r="D167" s="305"/>
    </row>
    <row r="168" spans="1:4">
      <c r="A168" s="305" t="s">
        <v>28</v>
      </c>
      <c r="B168" s="305"/>
      <c r="C168" s="305"/>
      <c r="D168" s="305"/>
    </row>
    <row r="169" spans="1:4" ht="21.75" thickBot="1">
      <c r="A169" s="305" t="s">
        <v>314</v>
      </c>
      <c r="B169" s="305"/>
      <c r="C169" s="305"/>
      <c r="D169" s="305"/>
    </row>
    <row r="170" spans="1:4" ht="21.75" thickBot="1">
      <c r="A170" s="215" t="s">
        <v>8</v>
      </c>
      <c r="B170" s="215" t="s">
        <v>0</v>
      </c>
      <c r="C170" s="216" t="s">
        <v>33</v>
      </c>
      <c r="D170" s="216" t="s">
        <v>34</v>
      </c>
    </row>
    <row r="171" spans="1:4">
      <c r="A171" s="238" t="s">
        <v>35</v>
      </c>
      <c r="B171" s="225">
        <v>11011000</v>
      </c>
      <c r="C171" s="253">
        <v>1102</v>
      </c>
      <c r="D171" s="237"/>
    </row>
    <row r="172" spans="1:4">
      <c r="A172" s="217" t="s">
        <v>22</v>
      </c>
      <c r="B172" s="218">
        <v>11012001</v>
      </c>
      <c r="C172" s="219">
        <f>2790652.25+245-90300+27386+4115-90100-90700</f>
        <v>2551298.25</v>
      </c>
      <c r="D172" s="40"/>
    </row>
    <row r="173" spans="1:4">
      <c r="A173" s="217" t="s">
        <v>23</v>
      </c>
      <c r="B173" s="218">
        <v>11012001</v>
      </c>
      <c r="C173" s="222">
        <v>986523.08</v>
      </c>
      <c r="D173" s="40"/>
    </row>
    <row r="174" spans="1:4">
      <c r="A174" s="217" t="s">
        <v>30</v>
      </c>
      <c r="B174" s="218">
        <v>11012001</v>
      </c>
      <c r="C174" s="222">
        <f>10297307.26+1530341.63-2553072.2-245+6808844.98-3361283.66+4935783.99-5097064.46</f>
        <v>12560612.539999999</v>
      </c>
      <c r="D174" s="40"/>
    </row>
    <row r="175" spans="1:4">
      <c r="A175" s="223" t="s">
        <v>136</v>
      </c>
      <c r="B175" s="218">
        <v>11012001</v>
      </c>
      <c r="C175" s="222">
        <f>5160918.7+9626.17</f>
        <v>5170544.87</v>
      </c>
      <c r="D175" s="40"/>
    </row>
    <row r="176" spans="1:4">
      <c r="A176" s="217" t="s">
        <v>91</v>
      </c>
      <c r="B176" s="218">
        <v>11012002</v>
      </c>
      <c r="C176" s="222">
        <v>2244394.81</v>
      </c>
      <c r="D176" s="40"/>
    </row>
    <row r="177" spans="1:4">
      <c r="A177" s="217" t="s">
        <v>40</v>
      </c>
      <c r="B177" s="218">
        <v>11012002</v>
      </c>
      <c r="C177" s="222">
        <f>1713972.37+17996.71</f>
        <v>1731969.08</v>
      </c>
      <c r="D177" s="40"/>
    </row>
    <row r="178" spans="1:4">
      <c r="A178" s="217" t="s">
        <v>137</v>
      </c>
      <c r="B178" s="17" t="s">
        <v>255</v>
      </c>
      <c r="C178" s="222">
        <f>3620000-873675.86-2534000</f>
        <v>212324.14000000013</v>
      </c>
      <c r="D178" s="40"/>
    </row>
    <row r="179" spans="1:4">
      <c r="A179" s="224" t="s">
        <v>285</v>
      </c>
      <c r="B179" s="20" t="s">
        <v>256</v>
      </c>
      <c r="C179" s="226">
        <f>1500+240800+559100+31948-801400-13184-5340-5340+20416+1500+242400+566700-3242-3242-2000-7712-3960-810600-4000+1500+364800+565900+46128-940-4344-810600-8820-4900-9180-121600</f>
        <v>22288</v>
      </c>
      <c r="D179" s="227"/>
    </row>
    <row r="180" spans="1:4">
      <c r="A180" s="217" t="s">
        <v>318</v>
      </c>
      <c r="B180" s="283" t="s">
        <v>319</v>
      </c>
      <c r="C180" s="222">
        <f>121600</f>
        <v>121600</v>
      </c>
      <c r="D180" s="40"/>
    </row>
    <row r="181" spans="1:4">
      <c r="A181" s="217" t="s">
        <v>71</v>
      </c>
      <c r="B181" s="229">
        <v>11045000</v>
      </c>
      <c r="C181" s="222">
        <v>0</v>
      </c>
      <c r="D181" s="40"/>
    </row>
    <row r="182" spans="1:4">
      <c r="A182" s="217" t="s">
        <v>183</v>
      </c>
      <c r="B182" s="218">
        <v>40000000</v>
      </c>
      <c r="C182" s="40"/>
      <c r="D182" s="228">
        <f>8509663.3+1533327.63+5953811.87+2347313.2+6230</f>
        <v>18350346</v>
      </c>
    </row>
    <row r="183" spans="1:4">
      <c r="A183" s="217" t="s">
        <v>148</v>
      </c>
      <c r="B183" s="218">
        <v>21010000</v>
      </c>
      <c r="C183" s="40"/>
      <c r="D183" s="219">
        <f>5061375-521617-1236675.86-178000-2534000</f>
        <v>591082.13999999966</v>
      </c>
    </row>
    <row r="184" spans="1:4">
      <c r="A184" s="217" t="s">
        <v>230</v>
      </c>
      <c r="B184" s="229">
        <v>21040000</v>
      </c>
      <c r="C184" s="40"/>
      <c r="D184" s="40">
        <f>1680516.55+24400+2079.17+11624-7286.73-1600-11624-80-2079.17-22700-10686+12917.27+10686+18.96+558.96+62950+200+29601.59+10686-12917.27-208070-10686</f>
        <v>1558509.33</v>
      </c>
    </row>
    <row r="185" spans="1:4">
      <c r="A185" s="217" t="s">
        <v>87</v>
      </c>
      <c r="B185" s="229">
        <v>31000000</v>
      </c>
      <c r="C185" s="40"/>
      <c r="D185" s="40">
        <v>7690351.7999999998</v>
      </c>
    </row>
    <row r="186" spans="1:4">
      <c r="A186" s="217" t="s">
        <v>39</v>
      </c>
      <c r="B186" s="229">
        <v>32000000</v>
      </c>
      <c r="C186" s="40"/>
      <c r="D186" s="40">
        <v>8270365.7300000004</v>
      </c>
    </row>
    <row r="187" spans="1:4">
      <c r="A187" s="217" t="s">
        <v>80</v>
      </c>
      <c r="B187" s="218">
        <v>51100000</v>
      </c>
      <c r="C187" s="40">
        <f>1963961+801400+101924+112368+810600+810600+101386</f>
        <v>4702239</v>
      </c>
      <c r="D187" s="40"/>
    </row>
    <row r="188" spans="1:4">
      <c r="A188" s="217" t="s">
        <v>81</v>
      </c>
      <c r="B188" s="218">
        <v>52100000</v>
      </c>
      <c r="C188" s="40">
        <f>370920+185460+185460+185460</f>
        <v>927300</v>
      </c>
      <c r="D188" s="40"/>
    </row>
    <row r="189" spans="1:4">
      <c r="A189" s="217" t="s">
        <v>82</v>
      </c>
      <c r="B189" s="218">
        <v>52200000</v>
      </c>
      <c r="C189" s="40">
        <f>1239039+619579+600820+600820</f>
        <v>3060258</v>
      </c>
      <c r="D189" s="40"/>
    </row>
    <row r="190" spans="1:4">
      <c r="A190" s="217" t="s">
        <v>83</v>
      </c>
      <c r="B190" s="218">
        <v>53100000</v>
      </c>
      <c r="C190" s="40">
        <f>23294+5430+30030+49230</f>
        <v>107984</v>
      </c>
      <c r="D190" s="40"/>
    </row>
    <row r="191" spans="1:4">
      <c r="A191" s="217" t="s">
        <v>84</v>
      </c>
      <c r="B191" s="218">
        <v>53200000</v>
      </c>
      <c r="C191" s="40">
        <f>353332+334687.16+13184+5340+5340+59809+3242+3242+2000+7712+3960+86918.51+4344+8820+4900+9180+2000</f>
        <v>908010.66999999993</v>
      </c>
      <c r="D191" s="40"/>
    </row>
    <row r="192" spans="1:4">
      <c r="A192" s="217" t="s">
        <v>85</v>
      </c>
      <c r="B192" s="218">
        <v>53300000</v>
      </c>
      <c r="C192" s="40">
        <f>86308.44+21820.9+74094.42+241331.86-2000</f>
        <v>421555.62</v>
      </c>
      <c r="D192" s="40"/>
    </row>
    <row r="193" spans="1:8">
      <c r="A193" s="217" t="s">
        <v>86</v>
      </c>
      <c r="B193" s="218">
        <v>53400000</v>
      </c>
      <c r="C193" s="40">
        <f>39649.47+12618.58+12248.48+21134.41</f>
        <v>85650.94</v>
      </c>
      <c r="D193" s="40"/>
    </row>
    <row r="194" spans="1:8">
      <c r="A194" s="217" t="s">
        <v>36</v>
      </c>
      <c r="B194" s="218">
        <v>54100000</v>
      </c>
      <c r="C194" s="40">
        <v>0</v>
      </c>
      <c r="D194" s="40"/>
    </row>
    <row r="195" spans="1:8">
      <c r="A195" s="217" t="s">
        <v>37</v>
      </c>
      <c r="B195" s="218">
        <v>54200000</v>
      </c>
      <c r="C195" s="40">
        <v>0</v>
      </c>
      <c r="D195" s="40"/>
    </row>
    <row r="196" spans="1:8">
      <c r="A196" s="217" t="s">
        <v>88</v>
      </c>
      <c r="B196" s="218">
        <v>55100000</v>
      </c>
      <c r="C196" s="40">
        <v>0</v>
      </c>
      <c r="D196" s="40"/>
    </row>
    <row r="197" spans="1:8">
      <c r="A197" s="217" t="s">
        <v>89</v>
      </c>
      <c r="B197" s="218">
        <v>56100000</v>
      </c>
      <c r="C197" s="40">
        <f>322000+297000+26000</f>
        <v>645000</v>
      </c>
      <c r="D197" s="40"/>
    </row>
    <row r="198" spans="1:8">
      <c r="A198" s="217"/>
      <c r="B198" s="218"/>
      <c r="C198" s="40"/>
      <c r="D198" s="40"/>
    </row>
    <row r="199" spans="1:8" ht="21.75" thickBot="1">
      <c r="A199" s="224"/>
      <c r="B199" s="230"/>
      <c r="C199" s="227"/>
      <c r="D199" s="227"/>
      <c r="H199" s="221">
        <f>SUM(C187:C197)</f>
        <v>10857998.229999999</v>
      </c>
    </row>
    <row r="200" spans="1:8" ht="21.75" thickBot="1">
      <c r="A200" s="215" t="s">
        <v>97</v>
      </c>
      <c r="B200" s="231"/>
      <c r="C200" s="232">
        <f>SUM(C171:C197)</f>
        <v>36460654.999999993</v>
      </c>
      <c r="D200" s="232">
        <f>SUM(D172:D197)</f>
        <v>36460655</v>
      </c>
      <c r="G200" s="221">
        <f>SUM(C200-D200)</f>
        <v>-7.4505805969238281E-9</v>
      </c>
    </row>
    <row r="201" spans="1:8" ht="12.75" customHeight="1">
      <c r="A201" s="279"/>
      <c r="B201" s="77"/>
      <c r="C201" s="78"/>
      <c r="D201" s="78"/>
    </row>
    <row r="202" spans="1:8">
      <c r="A202" s="2" t="s">
        <v>5</v>
      </c>
      <c r="B202" s="2"/>
      <c r="C202" s="41"/>
      <c r="D202" s="41"/>
    </row>
    <row r="203" spans="1:8">
      <c r="A203" s="2" t="s">
        <v>315</v>
      </c>
      <c r="B203" s="2"/>
      <c r="C203" s="41"/>
      <c r="D203" s="233"/>
    </row>
    <row r="204" spans="1:8">
      <c r="A204" s="31" t="s">
        <v>69</v>
      </c>
      <c r="B204" s="31"/>
      <c r="C204" s="42"/>
      <c r="D204" s="42"/>
    </row>
    <row r="205" spans="1:8">
      <c r="A205" s="31"/>
      <c r="B205" s="31"/>
      <c r="C205" s="42"/>
      <c r="D205" s="42"/>
    </row>
    <row r="206" spans="1:8">
      <c r="A206" s="31" t="s">
        <v>191</v>
      </c>
      <c r="B206" s="31"/>
      <c r="C206" s="42"/>
      <c r="D206" s="42"/>
    </row>
    <row r="207" spans="1:8">
      <c r="A207" s="31" t="s">
        <v>161</v>
      </c>
      <c r="B207" s="31"/>
      <c r="C207" s="42"/>
      <c r="D207" s="42"/>
    </row>
    <row r="208" spans="1:8">
      <c r="A208" s="305" t="s">
        <v>21</v>
      </c>
      <c r="B208" s="305"/>
      <c r="C208" s="305"/>
      <c r="D208" s="305"/>
    </row>
    <row r="209" spans="1:4">
      <c r="A209" s="305" t="s">
        <v>28</v>
      </c>
      <c r="B209" s="305"/>
      <c r="C209" s="305"/>
      <c r="D209" s="305"/>
    </row>
    <row r="210" spans="1:4" ht="21.75" thickBot="1">
      <c r="A210" s="305" t="s">
        <v>333</v>
      </c>
      <c r="B210" s="305"/>
      <c r="C210" s="305"/>
      <c r="D210" s="305"/>
    </row>
    <row r="211" spans="1:4" ht="21.75" thickBot="1">
      <c r="A211" s="215" t="s">
        <v>8</v>
      </c>
      <c r="B211" s="215" t="s">
        <v>0</v>
      </c>
      <c r="C211" s="216" t="s">
        <v>33</v>
      </c>
      <c r="D211" s="216" t="s">
        <v>34</v>
      </c>
    </row>
    <row r="212" spans="1:4">
      <c r="A212" s="238" t="s">
        <v>35</v>
      </c>
      <c r="B212" s="225">
        <v>11011000</v>
      </c>
      <c r="C212" s="253">
        <v>6886</v>
      </c>
      <c r="D212" s="237"/>
    </row>
    <row r="213" spans="1:4">
      <c r="A213" s="217" t="s">
        <v>22</v>
      </c>
      <c r="B213" s="218">
        <v>11012001</v>
      </c>
      <c r="C213" s="219">
        <f>2790652.25+245-90300+27386+4115-90100-90700+5247.63-93300</f>
        <v>2463245.88</v>
      </c>
      <c r="D213" s="40"/>
    </row>
    <row r="214" spans="1:4">
      <c r="A214" s="217" t="s">
        <v>23</v>
      </c>
      <c r="B214" s="218">
        <v>11012001</v>
      </c>
      <c r="C214" s="222">
        <f>986523.08+1913.58</f>
        <v>988436.65999999992</v>
      </c>
      <c r="D214" s="40"/>
    </row>
    <row r="215" spans="1:4">
      <c r="A215" s="217" t="s">
        <v>30</v>
      </c>
      <c r="B215" s="218">
        <v>11012001</v>
      </c>
      <c r="C215" s="222">
        <f>10297307.26+1530341.63-2553072.2-245+6808844.98-3361283.66+4935783.99-5097064.46+1607101.71-2036876.55</f>
        <v>12130837.699999999</v>
      </c>
      <c r="D215" s="40"/>
    </row>
    <row r="216" spans="1:4">
      <c r="A216" s="223" t="s">
        <v>136</v>
      </c>
      <c r="B216" s="218">
        <v>11012001</v>
      </c>
      <c r="C216" s="222">
        <f>5160918.7+9626.17</f>
        <v>5170544.87</v>
      </c>
      <c r="D216" s="40"/>
    </row>
    <row r="217" spans="1:4">
      <c r="A217" s="217" t="s">
        <v>91</v>
      </c>
      <c r="B217" s="218">
        <v>11012002</v>
      </c>
      <c r="C217" s="222">
        <v>2244394.81</v>
      </c>
      <c r="D217" s="40"/>
    </row>
    <row r="218" spans="1:4">
      <c r="A218" s="217" t="s">
        <v>40</v>
      </c>
      <c r="B218" s="218">
        <v>11012002</v>
      </c>
      <c r="C218" s="222">
        <f>1713972.37+17996.71</f>
        <v>1731969.08</v>
      </c>
      <c r="D218" s="40"/>
    </row>
    <row r="219" spans="1:4">
      <c r="A219" s="217" t="s">
        <v>137</v>
      </c>
      <c r="B219" s="17" t="s">
        <v>255</v>
      </c>
      <c r="C219" s="222">
        <f>3620000-873675.86-2534000</f>
        <v>212324.14000000013</v>
      </c>
      <c r="D219" s="40"/>
    </row>
    <row r="220" spans="1:4">
      <c r="A220" s="224" t="s">
        <v>285</v>
      </c>
      <c r="B220" s="20" t="s">
        <v>256</v>
      </c>
      <c r="C220" s="226">
        <f>1500+240800+559100+31948-801400-13184-5340-5340+20416+1500+242400+566700-3242-3242-2000-7712-3960-810600-4000+1500+364800+565900+46128-940-4344-810600-8820-4900-9180-121600+565800+244000+1500+12924-811300-3600-9324-10800-11488</f>
        <v>0</v>
      </c>
      <c r="D220" s="227"/>
    </row>
    <row r="221" spans="1:4">
      <c r="A221" s="217" t="s">
        <v>318</v>
      </c>
      <c r="B221" s="283" t="s">
        <v>319</v>
      </c>
      <c r="C221" s="222">
        <f>121600-121600</f>
        <v>0</v>
      </c>
      <c r="D221" s="40"/>
    </row>
    <row r="222" spans="1:4">
      <c r="A222" s="217" t="s">
        <v>71</v>
      </c>
      <c r="B222" s="229">
        <v>11045000</v>
      </c>
      <c r="C222" s="222">
        <v>0</v>
      </c>
      <c r="D222" s="40"/>
    </row>
    <row r="223" spans="1:4">
      <c r="A223" s="217" t="s">
        <v>183</v>
      </c>
      <c r="B223" s="218">
        <v>40000000</v>
      </c>
      <c r="C223" s="40"/>
      <c r="D223" s="228">
        <f>8509663.3+1533327.63+5953811.87+2347313.2+6230+1592376.2+13468</f>
        <v>19956190.199999999</v>
      </c>
    </row>
    <row r="224" spans="1:4">
      <c r="A224" s="217" t="s">
        <v>148</v>
      </c>
      <c r="B224" s="218">
        <v>21010000</v>
      </c>
      <c r="C224" s="40"/>
      <c r="D224" s="219">
        <f>5061375-521617-1236675.86-178000-2534000-148000</f>
        <v>443082.13999999966</v>
      </c>
    </row>
    <row r="225" spans="1:8">
      <c r="A225" s="217" t="s">
        <v>230</v>
      </c>
      <c r="B225" s="229">
        <v>21040000</v>
      </c>
      <c r="C225" s="40"/>
      <c r="D225" s="40">
        <f>1680516.55+24400+2079.17+11624-7286.73-1600-11624-80-2079.17-22700-10686+12917.27+10686+18.96+558.96+62950+200+29601.59+10686-12917.27-208070-10686+2062.14+23435+1913.58+260+3216.6+10686+3290+1000-29601.59-10686-24900-260-3290</f>
        <v>1535635.06</v>
      </c>
    </row>
    <row r="226" spans="1:8">
      <c r="A226" s="217" t="s">
        <v>87</v>
      </c>
      <c r="B226" s="229">
        <v>31000000</v>
      </c>
      <c r="C226" s="40"/>
      <c r="D226" s="40">
        <f>7690351.8-121600</f>
        <v>7568751.7999999998</v>
      </c>
    </row>
    <row r="227" spans="1:8">
      <c r="A227" s="217" t="s">
        <v>39</v>
      </c>
      <c r="B227" s="229">
        <v>32000000</v>
      </c>
      <c r="C227" s="40"/>
      <c r="D227" s="40">
        <v>8270365.7300000004</v>
      </c>
    </row>
    <row r="228" spans="1:8">
      <c r="A228" s="217" t="s">
        <v>80</v>
      </c>
      <c r="B228" s="218">
        <v>51100000</v>
      </c>
      <c r="C228" s="40">
        <f>1963961+801400+101924+112368+810600+810600+101386+811300+109186</f>
        <v>5622725</v>
      </c>
      <c r="D228" s="40"/>
    </row>
    <row r="229" spans="1:8">
      <c r="A229" s="217" t="s">
        <v>81</v>
      </c>
      <c r="B229" s="218">
        <v>52100000</v>
      </c>
      <c r="C229" s="40">
        <f>370920+185460+185460+185460+185460</f>
        <v>1112760</v>
      </c>
      <c r="D229" s="40"/>
    </row>
    <row r="230" spans="1:8">
      <c r="A230" s="217" t="s">
        <v>82</v>
      </c>
      <c r="B230" s="218">
        <v>52200000</v>
      </c>
      <c r="C230" s="40">
        <f>1239039+619579+600820+600820+600820</f>
        <v>3661078</v>
      </c>
      <c r="D230" s="40"/>
    </row>
    <row r="231" spans="1:8">
      <c r="A231" s="217" t="s">
        <v>83</v>
      </c>
      <c r="B231" s="218">
        <v>53100000</v>
      </c>
      <c r="C231" s="40">
        <f>23294+5430+30030+49230+25430</f>
        <v>133414</v>
      </c>
      <c r="D231" s="40"/>
    </row>
    <row r="232" spans="1:8">
      <c r="A232" s="217" t="s">
        <v>84</v>
      </c>
      <c r="B232" s="218">
        <v>53200000</v>
      </c>
      <c r="C232" s="40">
        <f>353332+334687.16+13184+5340+5340+59809+3242+3242+2000+7712+3960+86918.51+4344+8820+4900+9180+2000+177696+3600+9324+10800+11488</f>
        <v>1120918.67</v>
      </c>
      <c r="D232" s="40"/>
    </row>
    <row r="233" spans="1:8">
      <c r="A233" s="217" t="s">
        <v>85</v>
      </c>
      <c r="B233" s="218">
        <v>53300000</v>
      </c>
      <c r="C233" s="40">
        <f>86308.44+21820.9+74094.42+241331.86-2000+5150</f>
        <v>426705.62</v>
      </c>
      <c r="D233" s="40"/>
    </row>
    <row r="234" spans="1:8">
      <c r="A234" s="217" t="s">
        <v>86</v>
      </c>
      <c r="B234" s="218">
        <v>53400000</v>
      </c>
      <c r="C234" s="40">
        <f>39649.47+12618.58+12248.48+21134.41+17133.56</f>
        <v>102784.5</v>
      </c>
      <c r="D234" s="40"/>
    </row>
    <row r="235" spans="1:8">
      <c r="A235" s="217" t="s">
        <v>36</v>
      </c>
      <c r="B235" s="218">
        <v>54100000</v>
      </c>
      <c r="C235" s="40">
        <v>0</v>
      </c>
      <c r="D235" s="40"/>
    </row>
    <row r="236" spans="1:8">
      <c r="A236" s="217" t="s">
        <v>37</v>
      </c>
      <c r="B236" s="218">
        <v>54200000</v>
      </c>
      <c r="C236" s="40">
        <v>0</v>
      </c>
      <c r="D236" s="40"/>
    </row>
    <row r="237" spans="1:8">
      <c r="A237" s="217" t="s">
        <v>88</v>
      </c>
      <c r="B237" s="218">
        <v>55100000</v>
      </c>
      <c r="C237" s="40">
        <v>0</v>
      </c>
      <c r="D237" s="40"/>
    </row>
    <row r="238" spans="1:8">
      <c r="A238" s="217" t="s">
        <v>89</v>
      </c>
      <c r="B238" s="218">
        <v>56100000</v>
      </c>
      <c r="C238" s="40">
        <f>322000+297000+26000</f>
        <v>645000</v>
      </c>
      <c r="D238" s="40"/>
    </row>
    <row r="239" spans="1:8">
      <c r="A239" s="217"/>
      <c r="B239" s="218"/>
      <c r="C239" s="40"/>
      <c r="D239" s="40"/>
    </row>
    <row r="240" spans="1:8" ht="21.75" thickBot="1">
      <c r="A240" s="224"/>
      <c r="B240" s="230"/>
      <c r="C240" s="227"/>
      <c r="D240" s="227"/>
      <c r="H240" s="221">
        <f>SUM(C228:C238)</f>
        <v>12825385.789999999</v>
      </c>
    </row>
    <row r="241" spans="1:8" ht="21.75" thickBot="1">
      <c r="A241" s="215" t="s">
        <v>97</v>
      </c>
      <c r="B241" s="231"/>
      <c r="C241" s="232">
        <f>SUM(C212:C238)</f>
        <v>37774024.93</v>
      </c>
      <c r="D241" s="232">
        <f>SUM(D213:D238)</f>
        <v>37774024.93</v>
      </c>
      <c r="G241" s="221">
        <f>SUM(C241-D241)</f>
        <v>0</v>
      </c>
      <c r="H241" s="221">
        <f>SUM(C228:C238)</f>
        <v>12825385.789999999</v>
      </c>
    </row>
    <row r="242" spans="1:8" ht="12.75" customHeight="1">
      <c r="A242" s="286"/>
      <c r="B242" s="77"/>
      <c r="C242" s="78"/>
      <c r="D242" s="78"/>
    </row>
    <row r="243" spans="1:8">
      <c r="A243" s="2" t="s">
        <v>5</v>
      </c>
      <c r="B243" s="2"/>
      <c r="C243" s="41"/>
      <c r="D243" s="41"/>
    </row>
    <row r="244" spans="1:8">
      <c r="A244" s="2" t="s">
        <v>334</v>
      </c>
      <c r="B244" s="2"/>
      <c r="C244" s="41"/>
      <c r="D244" s="233"/>
    </row>
    <row r="245" spans="1:8">
      <c r="A245" s="31" t="s">
        <v>69</v>
      </c>
      <c r="B245" s="31"/>
      <c r="C245" s="42"/>
      <c r="D245" s="42"/>
    </row>
    <row r="246" spans="1:8">
      <c r="A246" s="31"/>
      <c r="B246" s="31"/>
      <c r="C246" s="42"/>
      <c r="D246" s="42"/>
    </row>
    <row r="247" spans="1:8">
      <c r="A247" s="31" t="s">
        <v>191</v>
      </c>
      <c r="B247" s="31"/>
      <c r="C247" s="42"/>
      <c r="D247" s="42"/>
    </row>
    <row r="248" spans="1:8">
      <c r="A248" s="31" t="s">
        <v>161</v>
      </c>
      <c r="B248" s="31"/>
      <c r="C248" s="42"/>
      <c r="D248" s="42"/>
    </row>
    <row r="249" spans="1:8">
      <c r="A249" s="305" t="s">
        <v>21</v>
      </c>
      <c r="B249" s="305"/>
      <c r="C249" s="305"/>
      <c r="D249" s="305"/>
    </row>
    <row r="250" spans="1:8">
      <c r="A250" s="305" t="s">
        <v>28</v>
      </c>
      <c r="B250" s="305"/>
      <c r="C250" s="305"/>
      <c r="D250" s="305"/>
    </row>
    <row r="251" spans="1:8" ht="21.75" thickBot="1">
      <c r="A251" s="305" t="s">
        <v>350</v>
      </c>
      <c r="B251" s="305"/>
      <c r="C251" s="305"/>
      <c r="D251" s="305"/>
    </row>
    <row r="252" spans="1:8" ht="21.75" thickBot="1">
      <c r="A252" s="215" t="s">
        <v>8</v>
      </c>
      <c r="B252" s="215" t="s">
        <v>0</v>
      </c>
      <c r="C252" s="216" t="s">
        <v>33</v>
      </c>
      <c r="D252" s="216" t="s">
        <v>34</v>
      </c>
    </row>
    <row r="253" spans="1:8">
      <c r="A253" s="238" t="s">
        <v>35</v>
      </c>
      <c r="B253" s="225">
        <v>11011000</v>
      </c>
      <c r="C253" s="253">
        <v>140</v>
      </c>
      <c r="D253" s="237"/>
    </row>
    <row r="254" spans="1:8">
      <c r="A254" s="217" t="s">
        <v>22</v>
      </c>
      <c r="B254" s="218">
        <v>11012001</v>
      </c>
      <c r="C254" s="219">
        <f>2790652.25+245-90300+27386+4115-90100-90700+5247.63-93300+900-96900</f>
        <v>2367245.88</v>
      </c>
      <c r="D254" s="40"/>
    </row>
    <row r="255" spans="1:8">
      <c r="A255" s="217" t="s">
        <v>23</v>
      </c>
      <c r="B255" s="218">
        <v>11012001</v>
      </c>
      <c r="C255" s="222">
        <f>986523.08+1913.58</f>
        <v>988436.65999999992</v>
      </c>
      <c r="D255" s="40"/>
    </row>
    <row r="256" spans="1:8">
      <c r="A256" s="217" t="s">
        <v>30</v>
      </c>
      <c r="B256" s="218">
        <v>11012001</v>
      </c>
      <c r="C256" s="222">
        <f>10297307.26+1530341.63-2553072.2-245+6808844.98-3361283.66+4935783.99-5097064.46+1607101.71-2036876.55+3558541.11-5355061.93</f>
        <v>10334316.879999999</v>
      </c>
      <c r="D256" s="40"/>
    </row>
    <row r="257" spans="1:8">
      <c r="A257" s="223" t="s">
        <v>136</v>
      </c>
      <c r="B257" s="218">
        <v>11012001</v>
      </c>
      <c r="C257" s="222">
        <f>5160918.7+9626.17</f>
        <v>5170544.87</v>
      </c>
      <c r="D257" s="40"/>
    </row>
    <row r="258" spans="1:8">
      <c r="A258" s="217" t="s">
        <v>91</v>
      </c>
      <c r="B258" s="218">
        <v>11012002</v>
      </c>
      <c r="C258" s="222">
        <v>2244394.81</v>
      </c>
      <c r="D258" s="40"/>
    </row>
    <row r="259" spans="1:8">
      <c r="A259" s="217" t="s">
        <v>40</v>
      </c>
      <c r="B259" s="218">
        <v>11012002</v>
      </c>
      <c r="C259" s="222">
        <f>1713972.37+17996.71</f>
        <v>1731969.08</v>
      </c>
      <c r="D259" s="40"/>
    </row>
    <row r="260" spans="1:8">
      <c r="A260" s="217" t="s">
        <v>137</v>
      </c>
      <c r="B260" s="17" t="s">
        <v>255</v>
      </c>
      <c r="C260" s="222">
        <f>3620000-873675.86-2534000</f>
        <v>212324.14000000013</v>
      </c>
      <c r="D260" s="40"/>
    </row>
    <row r="261" spans="1:8">
      <c r="A261" s="224" t="s">
        <v>285</v>
      </c>
      <c r="B261" s="20" t="s">
        <v>256</v>
      </c>
      <c r="C261" s="226">
        <f>1500+240800+559100+31948-801400-13184-5340-5340+20416+1500+242400+566700-3242-3242-2000-7712-3960-810600-4000+1500+364800+565900+46128-940-4344-810600-8820-4900-9180-121600+565800+244000+1500+12924-811300-3600-9324-10800-11488+563600+241600+1500+26900-806000-11900-15000-700</f>
        <v>0</v>
      </c>
      <c r="D261" s="227"/>
    </row>
    <row r="262" spans="1:8">
      <c r="A262" s="217" t="s">
        <v>318</v>
      </c>
      <c r="B262" s="283" t="s">
        <v>319</v>
      </c>
      <c r="C262" s="222">
        <f>121600-121600</f>
        <v>0</v>
      </c>
      <c r="D262" s="40"/>
    </row>
    <row r="263" spans="1:8">
      <c r="A263" s="217" t="s">
        <v>71</v>
      </c>
      <c r="B263" s="229">
        <v>11045000</v>
      </c>
      <c r="C263" s="222">
        <v>0</v>
      </c>
      <c r="D263" s="40"/>
    </row>
    <row r="264" spans="1:8">
      <c r="A264" s="217" t="s">
        <v>183</v>
      </c>
      <c r="B264" s="218">
        <v>40000000</v>
      </c>
      <c r="C264" s="40"/>
      <c r="D264" s="228">
        <f>8509663.3+1533327.63+5953811.87+2347313.2+6230+1592376.2+13468+3480704.85+40000</f>
        <v>23476895.050000001</v>
      </c>
      <c r="G264" s="295">
        <f>8509663.3+1533327.63+5953811.87+2347313.2+6230+1592376.2+13468+3480704.85</f>
        <v>23436895.050000001</v>
      </c>
    </row>
    <row r="265" spans="1:8">
      <c r="A265" s="217" t="s">
        <v>148</v>
      </c>
      <c r="B265" s="218">
        <v>21010000</v>
      </c>
      <c r="C265" s="40"/>
      <c r="D265" s="219">
        <f>5061375-521617-1236675.86-178000-2534000-148000</f>
        <v>443082.13999999966</v>
      </c>
      <c r="G265" s="295">
        <f>40000</f>
        <v>40000</v>
      </c>
      <c r="H265" s="294">
        <f>SUM(G264:G265)</f>
        <v>23476895.050000001</v>
      </c>
    </row>
    <row r="266" spans="1:8">
      <c r="A266" s="217" t="s">
        <v>230</v>
      </c>
      <c r="B266" s="229">
        <v>21040000</v>
      </c>
      <c r="C266" s="40"/>
      <c r="D266" s="40">
        <f>1680516.55+24400+2079.17+11624-7286.73-1600-11624-80-2079.17-22700-10686+12917.27+10686+18.96+558.96+62950+200+29601.59+10686-12917.27-208070-10686+2062.14+23435+1913.58+260+3216.6+10686+3290+1000-29601.59-10686-24900-260-3290+1810.26+29400+80+34901.95+10730+3290-3290-200-9950-10730-4216.6</f>
        <v>1587460.67</v>
      </c>
    </row>
    <row r="267" spans="1:8">
      <c r="A267" s="217" t="s">
        <v>87</v>
      </c>
      <c r="B267" s="229">
        <v>31000000</v>
      </c>
      <c r="C267" s="40"/>
      <c r="D267" s="40">
        <f>7690351.8-121600-2814000</f>
        <v>4754751.8</v>
      </c>
    </row>
    <row r="268" spans="1:8">
      <c r="A268" s="217" t="s">
        <v>39</v>
      </c>
      <c r="B268" s="229">
        <v>32000000</v>
      </c>
      <c r="C268" s="40"/>
      <c r="D268" s="40">
        <v>8270365.7300000004</v>
      </c>
    </row>
    <row r="269" spans="1:8">
      <c r="A269" s="217" t="s">
        <v>80</v>
      </c>
      <c r="B269" s="218">
        <v>51100000</v>
      </c>
      <c r="C269" s="40">
        <f>1963961+801400+101924+112368+810600+810600+101386+811300+109186+141828+806000</f>
        <v>6570553</v>
      </c>
      <c r="D269" s="40"/>
    </row>
    <row r="270" spans="1:8">
      <c r="A270" s="217" t="s">
        <v>81</v>
      </c>
      <c r="B270" s="218">
        <v>52100000</v>
      </c>
      <c r="C270" s="40">
        <f>370920+185460+185460+185460+185460+185460</f>
        <v>1298220</v>
      </c>
      <c r="D270" s="40"/>
    </row>
    <row r="271" spans="1:8">
      <c r="A271" s="217" t="s">
        <v>82</v>
      </c>
      <c r="B271" s="218">
        <v>52200000</v>
      </c>
      <c r="C271" s="40">
        <f>1239039+619579+600820+600820+600820+609380</f>
        <v>4270458</v>
      </c>
      <c r="D271" s="40"/>
    </row>
    <row r="272" spans="1:8">
      <c r="A272" s="217" t="s">
        <v>83</v>
      </c>
      <c r="B272" s="218">
        <v>53100000</v>
      </c>
      <c r="C272" s="40">
        <f>23294+5430+30030+49230+25430+79280</f>
        <v>212694</v>
      </c>
      <c r="D272" s="40"/>
    </row>
    <row r="273" spans="1:8">
      <c r="A273" s="217" t="s">
        <v>84</v>
      </c>
      <c r="B273" s="218">
        <v>53200000</v>
      </c>
      <c r="C273" s="40">
        <f>353332+334687.16+13184+5340+5340+59809+3242+3242+2000+7712+3960+86918.51+4344+8820+4900+9180+2000+177696+3600+9324+10800+11488+638099+11900+15000-3510</f>
        <v>1782407.67</v>
      </c>
      <c r="D273" s="40"/>
    </row>
    <row r="274" spans="1:8">
      <c r="A274" s="217" t="s">
        <v>85</v>
      </c>
      <c r="B274" s="218">
        <v>53300000</v>
      </c>
      <c r="C274" s="40">
        <f>86308.44+21820.9+74094.42+241331.86-2000+5150+145432.86+3510</f>
        <v>575648.48</v>
      </c>
      <c r="D274" s="40"/>
    </row>
    <row r="275" spans="1:8">
      <c r="A275" s="217" t="s">
        <v>86</v>
      </c>
      <c r="B275" s="218">
        <v>53400000</v>
      </c>
      <c r="C275" s="40">
        <f>39649.47+12618.58+12248.48+21134.41+17133.56+25417.42</f>
        <v>128201.92</v>
      </c>
      <c r="D275" s="40"/>
    </row>
    <row r="276" spans="1:8">
      <c r="A276" s="217" t="s">
        <v>36</v>
      </c>
      <c r="B276" s="218">
        <v>54100000</v>
      </c>
      <c r="C276" s="40">
        <v>0</v>
      </c>
      <c r="D276" s="40"/>
    </row>
    <row r="277" spans="1:8">
      <c r="A277" s="217" t="s">
        <v>37</v>
      </c>
      <c r="B277" s="218">
        <v>54200000</v>
      </c>
      <c r="C277" s="40">
        <v>0</v>
      </c>
      <c r="D277" s="40"/>
    </row>
    <row r="278" spans="1:8">
      <c r="A278" s="217" t="s">
        <v>88</v>
      </c>
      <c r="B278" s="218">
        <v>55100000</v>
      </c>
      <c r="C278" s="40">
        <v>0</v>
      </c>
      <c r="D278" s="40"/>
    </row>
    <row r="279" spans="1:8">
      <c r="A279" s="217" t="s">
        <v>89</v>
      </c>
      <c r="B279" s="218">
        <v>56100000</v>
      </c>
      <c r="C279" s="40">
        <f>322000+297000+26000</f>
        <v>645000</v>
      </c>
      <c r="D279" s="40"/>
      <c r="G279" s="221">
        <f>SUM(C269:C279)</f>
        <v>15483183.07</v>
      </c>
      <c r="H279" s="221">
        <f>SUM(G264-G279)</f>
        <v>7953711.9800000004</v>
      </c>
    </row>
    <row r="280" spans="1:8">
      <c r="A280" s="217"/>
      <c r="B280" s="218"/>
      <c r="C280" s="40"/>
      <c r="D280" s="40"/>
    </row>
    <row r="281" spans="1:8" ht="21.75" thickBot="1">
      <c r="A281" s="224"/>
      <c r="B281" s="230"/>
      <c r="C281" s="227"/>
      <c r="D281" s="227"/>
      <c r="H281" s="221">
        <f>SUM(C269:C279)</f>
        <v>15483183.07</v>
      </c>
    </row>
    <row r="282" spans="1:8" ht="21.75" thickBot="1">
      <c r="A282" s="215" t="s">
        <v>97</v>
      </c>
      <c r="B282" s="231"/>
      <c r="C282" s="232">
        <f>SUM(C253:C279)</f>
        <v>38532555.390000001</v>
      </c>
      <c r="D282" s="232">
        <f>SUM(D254:D279)</f>
        <v>38532555.390000001</v>
      </c>
      <c r="G282" s="221">
        <f>SUM(C282-D282)</f>
        <v>0</v>
      </c>
      <c r="H282" s="221">
        <f>SUM(C269:C279)</f>
        <v>15483183.07</v>
      </c>
    </row>
    <row r="283" spans="1:8" ht="12.75" customHeight="1">
      <c r="A283" s="291"/>
      <c r="B283" s="77"/>
      <c r="C283" s="78"/>
      <c r="D283" s="78"/>
    </row>
    <row r="284" spans="1:8">
      <c r="A284" s="2" t="s">
        <v>5</v>
      </c>
      <c r="B284" s="2"/>
      <c r="C284" s="41"/>
      <c r="D284" s="41"/>
    </row>
    <row r="285" spans="1:8">
      <c r="A285" s="2" t="s">
        <v>351</v>
      </c>
      <c r="B285" s="2"/>
      <c r="C285" s="41"/>
      <c r="D285" s="233"/>
    </row>
    <row r="286" spans="1:8">
      <c r="A286" s="31" t="s">
        <v>69</v>
      </c>
      <c r="B286" s="31"/>
      <c r="C286" s="42"/>
      <c r="D286" s="42"/>
    </row>
    <row r="287" spans="1:8">
      <c r="A287" s="31"/>
      <c r="B287" s="31"/>
      <c r="C287" s="42"/>
      <c r="D287" s="42"/>
    </row>
    <row r="288" spans="1:8">
      <c r="A288" s="31" t="s">
        <v>191</v>
      </c>
      <c r="B288" s="31"/>
      <c r="C288" s="42"/>
      <c r="D288" s="42"/>
    </row>
    <row r="289" spans="1:4">
      <c r="A289" s="31" t="s">
        <v>161</v>
      </c>
      <c r="B289" s="31"/>
      <c r="C289" s="42"/>
      <c r="D289" s="42"/>
    </row>
    <row r="290" spans="1:4">
      <c r="A290" s="305" t="s">
        <v>21</v>
      </c>
      <c r="B290" s="305"/>
      <c r="C290" s="305"/>
      <c r="D290" s="305"/>
    </row>
    <row r="291" spans="1:4">
      <c r="A291" s="305" t="s">
        <v>28</v>
      </c>
      <c r="B291" s="305"/>
      <c r="C291" s="305"/>
      <c r="D291" s="305"/>
    </row>
    <row r="292" spans="1:4" ht="21.75" thickBot="1">
      <c r="A292" s="305" t="s">
        <v>363</v>
      </c>
      <c r="B292" s="305"/>
      <c r="C292" s="305"/>
      <c r="D292" s="305"/>
    </row>
    <row r="293" spans="1:4" ht="21.75" thickBot="1">
      <c r="A293" s="215" t="s">
        <v>8</v>
      </c>
      <c r="B293" s="215" t="s">
        <v>0</v>
      </c>
      <c r="C293" s="216" t="s">
        <v>33</v>
      </c>
      <c r="D293" s="216" t="s">
        <v>34</v>
      </c>
    </row>
    <row r="294" spans="1:4">
      <c r="A294" s="238" t="s">
        <v>35</v>
      </c>
      <c r="B294" s="225">
        <v>11011000</v>
      </c>
      <c r="C294" s="253">
        <v>11188</v>
      </c>
      <c r="D294" s="237"/>
    </row>
    <row r="295" spans="1:4">
      <c r="A295" s="217" t="s">
        <v>22</v>
      </c>
      <c r="B295" s="218">
        <v>11012001</v>
      </c>
      <c r="C295" s="219">
        <f>2790652.25+245-90300+27386+4115-90100-90700+5247.63-93300+900-96900-95100</f>
        <v>2272145.88</v>
      </c>
      <c r="D295" s="40"/>
    </row>
    <row r="296" spans="1:4">
      <c r="A296" s="217" t="s">
        <v>23</v>
      </c>
      <c r="B296" s="218">
        <v>11012001</v>
      </c>
      <c r="C296" s="222">
        <f>986523.08+1913.58</f>
        <v>988436.65999999992</v>
      </c>
      <c r="D296" s="40"/>
    </row>
    <row r="297" spans="1:4">
      <c r="A297" s="217" t="s">
        <v>30</v>
      </c>
      <c r="B297" s="218">
        <v>11012001</v>
      </c>
      <c r="C297" s="222">
        <f>10297307.26+1530341.63-2553072.2-245+6808844.98-3361283.66+4935783.99-5097064.46+1607101.71-2036876.55+3558541.11-5355061.93+3499778.81-2715798.24</f>
        <v>11118297.449999999</v>
      </c>
      <c r="D297" s="40"/>
    </row>
    <row r="298" spans="1:4">
      <c r="A298" s="223" t="s">
        <v>136</v>
      </c>
      <c r="B298" s="218">
        <v>11012001</v>
      </c>
      <c r="C298" s="222">
        <f>5160918.7+9626.17</f>
        <v>5170544.87</v>
      </c>
      <c r="D298" s="40"/>
    </row>
    <row r="299" spans="1:4">
      <c r="A299" s="217" t="s">
        <v>91</v>
      </c>
      <c r="B299" s="218">
        <v>11012002</v>
      </c>
      <c r="C299" s="222">
        <v>2244394.81</v>
      </c>
      <c r="D299" s="40"/>
    </row>
    <row r="300" spans="1:4">
      <c r="A300" s="217" t="s">
        <v>40</v>
      </c>
      <c r="B300" s="218">
        <v>11012002</v>
      </c>
      <c r="C300" s="222">
        <f>1713972.37+17996.71</f>
        <v>1731969.08</v>
      </c>
      <c r="D300" s="40"/>
    </row>
    <row r="301" spans="1:4">
      <c r="A301" s="217" t="s">
        <v>137</v>
      </c>
      <c r="B301" s="17" t="s">
        <v>255</v>
      </c>
      <c r="C301" s="222">
        <f>3620000-873675.86-2534000</f>
        <v>212324.14000000013</v>
      </c>
      <c r="D301" s="40"/>
    </row>
    <row r="302" spans="1:4">
      <c r="A302" s="224" t="s">
        <v>285</v>
      </c>
      <c r="B302" s="20" t="s">
        <v>256</v>
      </c>
      <c r="C302" s="226">
        <f>1500+240800+559100+31948-801400-13184-5340-5340+20416+1500+242400+566700-3242-3242-2000-7712-3960-810600-4000+1500+364800+565900+46128-940-4344-810600-8820-4900-9180-121600+565800+244000+1500+12924-811300-3600-9324-10800-11488+563600+241600+1500+26900-806000-11900-15000-700+86000</f>
        <v>86000</v>
      </c>
      <c r="D302" s="227"/>
    </row>
    <row r="303" spans="1:4">
      <c r="A303" s="217" t="s">
        <v>318</v>
      </c>
      <c r="B303" s="283" t="s">
        <v>319</v>
      </c>
      <c r="C303" s="222">
        <f>121600-121600</f>
        <v>0</v>
      </c>
      <c r="D303" s="40"/>
    </row>
    <row r="304" spans="1:4">
      <c r="A304" s="217" t="s">
        <v>71</v>
      </c>
      <c r="B304" s="229">
        <v>11045000</v>
      </c>
      <c r="C304" s="222">
        <v>0</v>
      </c>
      <c r="D304" s="40"/>
    </row>
    <row r="305" spans="1:8">
      <c r="A305" s="217" t="s">
        <v>183</v>
      </c>
      <c r="B305" s="218">
        <v>40000000</v>
      </c>
      <c r="C305" s="40"/>
      <c r="D305" s="228">
        <f>8509663.3+1533327.63+5953811.87+2347313.2+6230+1592376.2+13468+3480704.85+40000+3455393.29</f>
        <v>26932288.34</v>
      </c>
      <c r="G305" s="295">
        <f>8509663.3+1533327.63+5953811.87+2347313.2+6230+1592376.2+13468+3480704.85</f>
        <v>23436895.050000001</v>
      </c>
    </row>
    <row r="306" spans="1:8">
      <c r="A306" s="217" t="s">
        <v>148</v>
      </c>
      <c r="B306" s="218">
        <v>21010000</v>
      </c>
      <c r="C306" s="40"/>
      <c r="D306" s="219">
        <f>5061375-521617-1236675.86-178000-2534000-148000</f>
        <v>443082.13999999966</v>
      </c>
      <c r="G306" s="295">
        <f>40000</f>
        <v>40000</v>
      </c>
      <c r="H306" s="294">
        <f>SUM(G305:G306)</f>
        <v>23476895.050000001</v>
      </c>
    </row>
    <row r="307" spans="1:8">
      <c r="A307" s="217" t="s">
        <v>230</v>
      </c>
      <c r="B307" s="229">
        <v>21040000</v>
      </c>
      <c r="C307" s="40"/>
      <c r="D307" s="40">
        <f>1680516.55+24400+2079.17+11624-7286.73-1600-11624-80-2079.17-22700-10686+12917.27+10686+18.96+558.96+62950+200+29601.59+10686-12917.27-208070-10686+2062.14+23435+1913.58+260+3216.6+10686+3290+1000-29601.59-10686-24900-260-3290+1810.26+29400+80+34901.95+10730+3290-3290-200-9950-10730-4216.6+98.52+55335+7537.03+1000+10756+3290-34901.95-10756-23450-3290</f>
        <v>1593079.27</v>
      </c>
    </row>
    <row r="308" spans="1:8">
      <c r="A308" s="217" t="s">
        <v>87</v>
      </c>
      <c r="B308" s="229">
        <v>31000000</v>
      </c>
      <c r="C308" s="40"/>
      <c r="D308" s="40">
        <f>7690351.8-121600-2814000-51000</f>
        <v>4703751.8</v>
      </c>
    </row>
    <row r="309" spans="1:8">
      <c r="A309" s="217" t="s">
        <v>39</v>
      </c>
      <c r="B309" s="229">
        <v>32000000</v>
      </c>
      <c r="C309" s="40"/>
      <c r="D309" s="40">
        <v>8270365.7300000004</v>
      </c>
    </row>
    <row r="310" spans="1:8">
      <c r="A310" s="217" t="s">
        <v>80</v>
      </c>
      <c r="B310" s="218">
        <v>51100000</v>
      </c>
      <c r="C310" s="40">
        <f>1963961+801400+101924+112368+810600+810600+101386+811300+109186+141828+806000+386162+564000+243200+1500</f>
        <v>7765415</v>
      </c>
      <c r="D310" s="40"/>
    </row>
    <row r="311" spans="1:8">
      <c r="A311" s="217" t="s">
        <v>81</v>
      </c>
      <c r="B311" s="218">
        <v>52100000</v>
      </c>
      <c r="C311" s="40">
        <f>370920+185460+185460+185460+185460+185460+185460</f>
        <v>1483680</v>
      </c>
      <c r="D311" s="40"/>
    </row>
    <row r="312" spans="1:8">
      <c r="A312" s="217" t="s">
        <v>82</v>
      </c>
      <c r="B312" s="218">
        <v>52200000</v>
      </c>
      <c r="C312" s="40">
        <f>1239039+619579+600820+600820+600820+609380+609900</f>
        <v>4880358</v>
      </c>
      <c r="D312" s="40"/>
    </row>
    <row r="313" spans="1:8">
      <c r="A313" s="217" t="s">
        <v>83</v>
      </c>
      <c r="B313" s="218">
        <v>53100000</v>
      </c>
      <c r="C313" s="40">
        <f>23294+5430+30030+49230+25430+79280+21030</f>
        <v>233724</v>
      </c>
      <c r="D313" s="40"/>
    </row>
    <row r="314" spans="1:8">
      <c r="A314" s="217" t="s">
        <v>84</v>
      </c>
      <c r="B314" s="218">
        <v>53200000</v>
      </c>
      <c r="C314" s="40">
        <f>353332+334687.16+13184+5340+5340+59809+3242+3242+2000+7712+3960+86918.51+4344+8820+4900+9180+2000+177696+3600+9324+10800+11488+638099+11900+15000-3510+148468.92</f>
        <v>1930876.5899999999</v>
      </c>
      <c r="D314" s="40"/>
    </row>
    <row r="315" spans="1:8">
      <c r="A315" s="217" t="s">
        <v>85</v>
      </c>
      <c r="B315" s="218">
        <v>53300000</v>
      </c>
      <c r="C315" s="40">
        <f>86308.44+21820.9+74094.42+241331.86-2000+5150+145432.86+3510+156854.22</f>
        <v>732502.7</v>
      </c>
      <c r="D315" s="40"/>
    </row>
    <row r="316" spans="1:8">
      <c r="A316" s="217" t="s">
        <v>86</v>
      </c>
      <c r="B316" s="218">
        <v>53400000</v>
      </c>
      <c r="C316" s="40">
        <f>39649.47+12618.58+12248.48+21134.41+17133.56+25417.42+21508.18</f>
        <v>149710.1</v>
      </c>
      <c r="D316" s="40"/>
    </row>
    <row r="317" spans="1:8">
      <c r="A317" s="217" t="s">
        <v>36</v>
      </c>
      <c r="B317" s="218">
        <v>54100000</v>
      </c>
      <c r="C317" s="40">
        <v>0</v>
      </c>
      <c r="D317" s="40"/>
    </row>
    <row r="318" spans="1:8">
      <c r="A318" s="217" t="s">
        <v>37</v>
      </c>
      <c r="B318" s="218">
        <v>54200000</v>
      </c>
      <c r="C318" s="40">
        <v>258000</v>
      </c>
      <c r="D318" s="40"/>
    </row>
    <row r="319" spans="1:8">
      <c r="A319" s="217" t="s">
        <v>88</v>
      </c>
      <c r="B319" s="218">
        <v>55100000</v>
      </c>
      <c r="C319" s="40">
        <v>0</v>
      </c>
      <c r="D319" s="40"/>
    </row>
    <row r="320" spans="1:8">
      <c r="A320" s="217" t="s">
        <v>89</v>
      </c>
      <c r="B320" s="218">
        <v>56100000</v>
      </c>
      <c r="C320" s="40">
        <f>322000+297000+26000+28000</f>
        <v>673000</v>
      </c>
      <c r="D320" s="40"/>
      <c r="G320" s="221">
        <f>SUM(C310:C320)</f>
        <v>18107266.390000001</v>
      </c>
      <c r="H320" s="221">
        <f>SUM(G305-G320)</f>
        <v>5329628.66</v>
      </c>
    </row>
    <row r="321" spans="1:8">
      <c r="A321" s="217"/>
      <c r="B321" s="218"/>
      <c r="C321" s="40"/>
      <c r="D321" s="40"/>
    </row>
    <row r="322" spans="1:8" ht="21.75" thickBot="1">
      <c r="A322" s="224"/>
      <c r="B322" s="230"/>
      <c r="C322" s="227"/>
      <c r="D322" s="227"/>
      <c r="H322" s="221">
        <f>SUM(C310:C320)</f>
        <v>18107266.390000001</v>
      </c>
    </row>
    <row r="323" spans="1:8" ht="21.75" thickBot="1">
      <c r="A323" s="215" t="s">
        <v>97</v>
      </c>
      <c r="B323" s="231"/>
      <c r="C323" s="232">
        <f>SUM(C294:C320)</f>
        <v>41942567.280000009</v>
      </c>
      <c r="D323" s="232">
        <f>SUM(D295:D320)</f>
        <v>41942567.280000001</v>
      </c>
      <c r="G323" s="221">
        <f>SUM(C323-D323)</f>
        <v>7.4505805969238281E-9</v>
      </c>
      <c r="H323" s="221">
        <f>SUM(C310:C320)</f>
        <v>18107266.390000001</v>
      </c>
    </row>
    <row r="324" spans="1:8" ht="12.75" customHeight="1">
      <c r="A324" s="297"/>
      <c r="B324" s="77"/>
      <c r="C324" s="78"/>
      <c r="D324" s="78"/>
    </row>
    <row r="325" spans="1:8">
      <c r="A325" s="2" t="s">
        <v>5</v>
      </c>
      <c r="B325" s="2"/>
      <c r="C325" s="41"/>
      <c r="D325" s="41"/>
    </row>
    <row r="326" spans="1:8">
      <c r="A326" s="2" t="s">
        <v>366</v>
      </c>
      <c r="B326" s="2"/>
      <c r="C326" s="41"/>
      <c r="D326" s="233"/>
      <c r="H326" s="221">
        <f>SUM(C310:C320)</f>
        <v>18107266.390000001</v>
      </c>
    </row>
    <row r="327" spans="1:8">
      <c r="A327" s="31" t="s">
        <v>69</v>
      </c>
      <c r="B327" s="31"/>
      <c r="C327" s="42"/>
      <c r="D327" s="42"/>
    </row>
    <row r="328" spans="1:8">
      <c r="A328" s="31"/>
      <c r="B328" s="31"/>
      <c r="C328" s="42"/>
      <c r="D328" s="42"/>
    </row>
    <row r="329" spans="1:8">
      <c r="A329" s="31" t="s">
        <v>191</v>
      </c>
      <c r="B329" s="31"/>
      <c r="C329" s="42"/>
      <c r="D329" s="42"/>
    </row>
    <row r="330" spans="1:8">
      <c r="A330" s="31" t="s">
        <v>161</v>
      </c>
      <c r="B330" s="31"/>
      <c r="C330" s="42"/>
      <c r="D330" s="42"/>
    </row>
  </sheetData>
  <mergeCells count="24">
    <mergeCell ref="A290:D290"/>
    <mergeCell ref="A291:D291"/>
    <mergeCell ref="A292:D292"/>
    <mergeCell ref="A85:D85"/>
    <mergeCell ref="A86:D86"/>
    <mergeCell ref="A87:D87"/>
    <mergeCell ref="A249:D249"/>
    <mergeCell ref="A250:D250"/>
    <mergeCell ref="A251:D251"/>
    <mergeCell ref="A126:D126"/>
    <mergeCell ref="A127:D127"/>
    <mergeCell ref="A128:D128"/>
    <mergeCell ref="A208:D208"/>
    <mergeCell ref="A209:D209"/>
    <mergeCell ref="A210:D210"/>
    <mergeCell ref="A167:D167"/>
    <mergeCell ref="A168:D168"/>
    <mergeCell ref="A169:D169"/>
    <mergeCell ref="A47:D47"/>
    <mergeCell ref="A1:D1"/>
    <mergeCell ref="A2:D2"/>
    <mergeCell ref="A3:D3"/>
    <mergeCell ref="A45:D45"/>
    <mergeCell ref="A46:D46"/>
  </mergeCells>
  <phoneticPr fontId="0" type="noConversion"/>
  <pageMargins left="0.51" right="0" top="0.3" bottom="0.19685039370078741" header="0.31" footer="0.31"/>
  <pageSetup paperSize="9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>
  <dimension ref="A1:I1018"/>
  <sheetViews>
    <sheetView topLeftCell="A682" zoomScaleNormal="100" workbookViewId="0">
      <selection activeCell="E692" sqref="E692"/>
    </sheetView>
  </sheetViews>
  <sheetFormatPr defaultRowHeight="18.75"/>
  <cols>
    <col min="1" max="1" width="51.42578125" style="2" customWidth="1"/>
    <col min="2" max="2" width="12.28515625" style="132" customWidth="1"/>
    <col min="3" max="3" width="16" style="3" customWidth="1"/>
    <col min="4" max="4" width="19.5703125" style="76" customWidth="1"/>
    <col min="5" max="5" width="18.85546875" style="3" customWidth="1"/>
    <col min="6" max="6" width="16.42578125" style="183" customWidth="1"/>
    <col min="7" max="7" width="33.28515625" style="3" customWidth="1"/>
    <col min="8" max="8" width="17.42578125" style="2" customWidth="1"/>
    <col min="9" max="9" width="20.140625" style="2" customWidth="1"/>
    <col min="10" max="16384" width="9.140625" style="2"/>
  </cols>
  <sheetData>
    <row r="1" spans="1:7" ht="21">
      <c r="A1" s="308" t="s">
        <v>106</v>
      </c>
      <c r="B1" s="308"/>
      <c r="C1" s="308"/>
      <c r="D1" s="308"/>
    </row>
    <row r="2" spans="1:7" ht="21">
      <c r="A2" s="308" t="s">
        <v>105</v>
      </c>
      <c r="B2" s="308"/>
      <c r="C2" s="308"/>
      <c r="D2" s="308"/>
    </row>
    <row r="3" spans="1:7" ht="21">
      <c r="A3" s="306" t="s">
        <v>207</v>
      </c>
      <c r="B3" s="306"/>
      <c r="C3" s="306"/>
      <c r="D3" s="306"/>
    </row>
    <row r="4" spans="1:7" ht="21">
      <c r="A4" s="53" t="s">
        <v>4</v>
      </c>
      <c r="B4" s="54" t="s">
        <v>16</v>
      </c>
      <c r="C4" s="55" t="s">
        <v>1</v>
      </c>
      <c r="D4" s="139" t="s">
        <v>2</v>
      </c>
    </row>
    <row r="5" spans="1:7">
      <c r="A5" s="56"/>
      <c r="B5" s="57" t="s">
        <v>17</v>
      </c>
      <c r="C5" s="58"/>
      <c r="D5" s="140"/>
    </row>
    <row r="6" spans="1:7">
      <c r="A6" s="59" t="s">
        <v>108</v>
      </c>
      <c r="B6" s="54">
        <v>41000000</v>
      </c>
      <c r="C6" s="68"/>
      <c r="D6" s="69"/>
    </row>
    <row r="7" spans="1:7">
      <c r="A7" s="7" t="s">
        <v>107</v>
      </c>
      <c r="B7" s="60">
        <v>41100000</v>
      </c>
      <c r="C7" s="136"/>
      <c r="D7" s="136"/>
      <c r="F7" s="184"/>
    </row>
    <row r="8" spans="1:7">
      <c r="A8" s="135" t="s">
        <v>110</v>
      </c>
      <c r="B8" s="62">
        <v>41100001</v>
      </c>
      <c r="C8" s="26">
        <v>80000</v>
      </c>
      <c r="D8" s="32">
        <v>0</v>
      </c>
      <c r="F8" s="184"/>
    </row>
    <row r="9" spans="1:7">
      <c r="A9" s="135" t="s">
        <v>111</v>
      </c>
      <c r="B9" s="62">
        <v>41100002</v>
      </c>
      <c r="C9" s="26">
        <v>100000</v>
      </c>
      <c r="D9" s="32">
        <v>497.26</v>
      </c>
      <c r="F9" s="184"/>
    </row>
    <row r="10" spans="1:7">
      <c r="A10" s="135" t="s">
        <v>112</v>
      </c>
      <c r="B10" s="62">
        <v>41100003</v>
      </c>
      <c r="C10" s="103">
        <v>6000</v>
      </c>
      <c r="D10" s="32">
        <v>0</v>
      </c>
      <c r="F10" s="184"/>
    </row>
    <row r="11" spans="1:7">
      <c r="A11" s="135" t="s">
        <v>208</v>
      </c>
      <c r="B11" s="62">
        <v>41100004</v>
      </c>
      <c r="C11" s="104">
        <v>0</v>
      </c>
      <c r="D11" s="32">
        <v>0</v>
      </c>
      <c r="F11" s="184"/>
    </row>
    <row r="12" spans="1:7" ht="19.5" thickBot="1">
      <c r="A12" s="29" t="s">
        <v>97</v>
      </c>
      <c r="B12" s="62"/>
      <c r="C12" s="34">
        <f>SUM(C8:C11)</f>
        <v>186000</v>
      </c>
      <c r="D12" s="34">
        <f>SUM(D8:D11)</f>
        <v>497.26</v>
      </c>
      <c r="F12" s="184"/>
    </row>
    <row r="13" spans="1:7" s="63" customFormat="1" ht="19.5" thickTop="1">
      <c r="A13" s="7" t="s">
        <v>109</v>
      </c>
      <c r="B13" s="60">
        <v>41200000</v>
      </c>
      <c r="C13" s="80"/>
      <c r="D13" s="80"/>
      <c r="E13" s="3"/>
      <c r="F13" s="184"/>
      <c r="G13" s="3"/>
    </row>
    <row r="14" spans="1:7">
      <c r="A14" s="135" t="s">
        <v>167</v>
      </c>
      <c r="B14" s="62">
        <v>41210004</v>
      </c>
      <c r="C14" s="26">
        <v>1000</v>
      </c>
      <c r="D14" s="109">
        <f>0</f>
        <v>0</v>
      </c>
      <c r="F14" s="184"/>
    </row>
    <row r="15" spans="1:7">
      <c r="A15" s="135" t="s">
        <v>168</v>
      </c>
      <c r="B15" s="62">
        <v>41210005</v>
      </c>
      <c r="C15" s="26">
        <v>2500</v>
      </c>
      <c r="D15" s="109">
        <f>0</f>
        <v>0</v>
      </c>
      <c r="F15" s="184"/>
    </row>
    <row r="16" spans="1:7">
      <c r="A16" s="21" t="s">
        <v>169</v>
      </c>
      <c r="B16" s="62">
        <v>41210007</v>
      </c>
      <c r="C16" s="26">
        <v>1500</v>
      </c>
      <c r="D16" s="109">
        <v>55</v>
      </c>
      <c r="F16" s="184"/>
    </row>
    <row r="17" spans="1:9">
      <c r="A17" s="21" t="s">
        <v>170</v>
      </c>
      <c r="B17" s="62">
        <v>41210009</v>
      </c>
      <c r="C17" s="26">
        <v>10000</v>
      </c>
      <c r="D17" s="109">
        <f>0</f>
        <v>0</v>
      </c>
      <c r="F17" s="184"/>
    </row>
    <row r="18" spans="1:9">
      <c r="A18" s="43" t="s">
        <v>171</v>
      </c>
      <c r="B18" s="62">
        <v>41210012</v>
      </c>
      <c r="C18" s="26">
        <v>200</v>
      </c>
      <c r="D18" s="109">
        <f>0</f>
        <v>0</v>
      </c>
      <c r="F18" s="184"/>
    </row>
    <row r="19" spans="1:9">
      <c r="A19" s="21" t="s">
        <v>172</v>
      </c>
      <c r="B19" s="62">
        <v>41210029</v>
      </c>
      <c r="C19" s="26">
        <v>300</v>
      </c>
      <c r="D19" s="109">
        <v>20</v>
      </c>
      <c r="F19" s="184"/>
    </row>
    <row r="20" spans="1:9">
      <c r="A20" s="21" t="s">
        <v>173</v>
      </c>
      <c r="B20" s="62">
        <v>41220002</v>
      </c>
      <c r="C20" s="26">
        <v>2000</v>
      </c>
      <c r="D20" s="109">
        <v>200</v>
      </c>
      <c r="F20" s="184"/>
      <c r="I20" s="18">
        <f>SUM(D14:D24)</f>
        <v>325</v>
      </c>
    </row>
    <row r="21" spans="1:9">
      <c r="A21" s="21" t="s">
        <v>174</v>
      </c>
      <c r="B21" s="62">
        <v>41220010</v>
      </c>
      <c r="C21" s="26">
        <v>50000</v>
      </c>
      <c r="D21" s="109">
        <f>0</f>
        <v>0</v>
      </c>
      <c r="F21" s="184"/>
      <c r="I21" s="18">
        <f>SUM(D14:D25)</f>
        <v>650</v>
      </c>
    </row>
    <row r="22" spans="1:9">
      <c r="A22" s="21" t="s">
        <v>175</v>
      </c>
      <c r="B22" s="62">
        <v>41230003</v>
      </c>
      <c r="C22" s="26">
        <v>40000</v>
      </c>
      <c r="D22" s="109">
        <f>0</f>
        <v>0</v>
      </c>
      <c r="F22" s="184"/>
    </row>
    <row r="23" spans="1:9">
      <c r="A23" s="21" t="s">
        <v>176</v>
      </c>
      <c r="B23" s="62">
        <v>41230007</v>
      </c>
      <c r="C23" s="103">
        <v>1000</v>
      </c>
      <c r="D23" s="109">
        <v>50</v>
      </c>
      <c r="F23" s="184"/>
    </row>
    <row r="24" spans="1:9">
      <c r="A24" s="21" t="s">
        <v>177</v>
      </c>
      <c r="B24" s="62">
        <v>41239999</v>
      </c>
      <c r="C24" s="104">
        <v>5000</v>
      </c>
      <c r="D24" s="109">
        <f>0</f>
        <v>0</v>
      </c>
      <c r="F24" s="184"/>
    </row>
    <row r="25" spans="1:9" ht="19.5" thickBot="1">
      <c r="A25" s="29" t="s">
        <v>97</v>
      </c>
      <c r="B25" s="62"/>
      <c r="C25" s="34">
        <f>SUM(C14:C24)</f>
        <v>113500</v>
      </c>
      <c r="D25" s="34">
        <f>SUM(D14:D24)</f>
        <v>325</v>
      </c>
      <c r="F25" s="184"/>
    </row>
    <row r="26" spans="1:9" s="63" customFormat="1" ht="19.5" thickTop="1">
      <c r="A26" s="7" t="s">
        <v>113</v>
      </c>
      <c r="B26" s="60">
        <v>413000000</v>
      </c>
      <c r="C26" s="80"/>
      <c r="D26" s="80"/>
      <c r="E26" s="3"/>
      <c r="F26" s="184"/>
      <c r="G26" s="3"/>
    </row>
    <row r="27" spans="1:9">
      <c r="A27" s="21" t="s">
        <v>24</v>
      </c>
      <c r="B27" s="62">
        <v>41300003</v>
      </c>
      <c r="C27" s="104">
        <v>100000</v>
      </c>
      <c r="D27" s="137">
        <v>0</v>
      </c>
      <c r="F27" s="184"/>
    </row>
    <row r="28" spans="1:9" ht="19.5" thickBot="1">
      <c r="A28" s="29" t="s">
        <v>97</v>
      </c>
      <c r="B28" s="62"/>
      <c r="C28" s="34">
        <f>SUM(C27)</f>
        <v>100000</v>
      </c>
      <c r="D28" s="34">
        <f>SUM(D27)</f>
        <v>0</v>
      </c>
      <c r="F28" s="184"/>
    </row>
    <row r="29" spans="1:9" s="63" customFormat="1" ht="19.5" thickTop="1">
      <c r="A29" s="7" t="s">
        <v>114</v>
      </c>
      <c r="B29" s="60">
        <v>41500000</v>
      </c>
      <c r="C29" s="80"/>
      <c r="D29" s="80"/>
      <c r="E29" s="3"/>
      <c r="F29" s="184"/>
      <c r="G29" s="3"/>
    </row>
    <row r="30" spans="1:9">
      <c r="A30" s="21" t="s">
        <v>41</v>
      </c>
      <c r="B30" s="62">
        <v>41500004</v>
      </c>
      <c r="C30" s="26">
        <v>10000</v>
      </c>
      <c r="D30" s="32">
        <v>2000</v>
      </c>
      <c r="F30" s="184"/>
    </row>
    <row r="31" spans="1:9">
      <c r="A31" s="21" t="s">
        <v>138</v>
      </c>
      <c r="B31" s="62">
        <v>41599999</v>
      </c>
      <c r="C31" s="134">
        <v>500</v>
      </c>
      <c r="D31" s="71">
        <v>0</v>
      </c>
      <c r="F31" s="184"/>
    </row>
    <row r="32" spans="1:9" ht="19.5" thickBot="1">
      <c r="A32" s="29" t="s">
        <v>97</v>
      </c>
      <c r="B32" s="62"/>
      <c r="C32" s="34">
        <f>SUM(C30:C31)</f>
        <v>10500</v>
      </c>
      <c r="D32" s="34">
        <f>SUM(D30:D31)</f>
        <v>2000</v>
      </c>
      <c r="F32" s="184"/>
    </row>
    <row r="33" spans="1:7" ht="19.5" thickTop="1">
      <c r="A33" s="7" t="s">
        <v>115</v>
      </c>
      <c r="B33" s="62">
        <v>42000000</v>
      </c>
      <c r="C33" s="80"/>
      <c r="D33" s="80"/>
      <c r="F33" s="184"/>
    </row>
    <row r="34" spans="1:7">
      <c r="A34" s="7" t="s">
        <v>116</v>
      </c>
      <c r="B34" s="62">
        <v>42100000</v>
      </c>
      <c r="C34" s="136"/>
      <c r="D34" s="136"/>
      <c r="F34" s="184"/>
    </row>
    <row r="35" spans="1:7">
      <c r="A35" s="21" t="s">
        <v>139</v>
      </c>
      <c r="B35" s="62">
        <v>42100001</v>
      </c>
      <c r="C35" s="26">
        <v>1000000</v>
      </c>
      <c r="D35" s="26">
        <v>0</v>
      </c>
      <c r="F35" s="184"/>
    </row>
    <row r="36" spans="1:7">
      <c r="A36" s="21" t="s">
        <v>140</v>
      </c>
      <c r="B36" s="62">
        <v>42100002</v>
      </c>
      <c r="C36" s="26">
        <v>8000000</v>
      </c>
      <c r="D36" s="26">
        <v>807681.19</v>
      </c>
      <c r="F36" s="184"/>
    </row>
    <row r="37" spans="1:7">
      <c r="A37" s="21" t="s">
        <v>141</v>
      </c>
      <c r="B37" s="62">
        <v>42100004</v>
      </c>
      <c r="C37" s="26">
        <v>2500000</v>
      </c>
      <c r="D37" s="26">
        <v>136065.98000000001</v>
      </c>
      <c r="F37" s="184"/>
    </row>
    <row r="38" spans="1:7">
      <c r="A38" s="21" t="s">
        <v>142</v>
      </c>
      <c r="B38" s="62">
        <v>42100005</v>
      </c>
      <c r="C38" s="103">
        <v>100000</v>
      </c>
      <c r="D38" s="103">
        <v>0</v>
      </c>
      <c r="F38" s="184"/>
    </row>
    <row r="39" spans="1:7">
      <c r="A39" s="21" t="s">
        <v>143</v>
      </c>
      <c r="B39" s="62">
        <v>42100006</v>
      </c>
      <c r="C39" s="26">
        <v>0</v>
      </c>
      <c r="D39" s="26">
        <v>0</v>
      </c>
      <c r="F39" s="184"/>
    </row>
    <row r="40" spans="1:7">
      <c r="A40" s="21" t="s">
        <v>144</v>
      </c>
      <c r="B40" s="62">
        <v>42100007</v>
      </c>
      <c r="C40" s="26">
        <v>3410000</v>
      </c>
      <c r="D40" s="26">
        <v>375552.6</v>
      </c>
      <c r="F40" s="184"/>
    </row>
    <row r="41" spans="1:7">
      <c r="A41" s="21" t="s">
        <v>145</v>
      </c>
      <c r="B41" s="62">
        <v>42100012</v>
      </c>
      <c r="C41" s="26">
        <v>80000</v>
      </c>
      <c r="D41" s="26">
        <v>0</v>
      </c>
      <c r="F41" s="184"/>
    </row>
    <row r="42" spans="1:7">
      <c r="A42" s="21" t="s">
        <v>146</v>
      </c>
      <c r="B42" s="62">
        <v>42100013</v>
      </c>
      <c r="C42" s="26">
        <v>50000</v>
      </c>
      <c r="D42" s="26">
        <v>11585.92</v>
      </c>
      <c r="F42" s="184"/>
    </row>
    <row r="43" spans="1:7">
      <c r="A43" s="21" t="s">
        <v>147</v>
      </c>
      <c r="B43" s="62">
        <v>42100015</v>
      </c>
      <c r="C43" s="134">
        <v>450000</v>
      </c>
      <c r="D43" s="26">
        <v>44513</v>
      </c>
      <c r="F43" s="184"/>
    </row>
    <row r="44" spans="1:7">
      <c r="A44" s="65" t="s">
        <v>97</v>
      </c>
      <c r="B44" s="64"/>
      <c r="C44" s="61">
        <f>SUM(C35:C43)</f>
        <v>15590000</v>
      </c>
      <c r="D44" s="66">
        <f>SUM(D35:D43)</f>
        <v>1375398.69</v>
      </c>
      <c r="F44" s="184"/>
    </row>
    <row r="45" spans="1:7">
      <c r="A45" s="213"/>
      <c r="B45" s="146"/>
      <c r="C45" s="85"/>
      <c r="D45" s="85"/>
      <c r="F45" s="184"/>
    </row>
    <row r="46" spans="1:7" ht="21">
      <c r="A46" s="53" t="s">
        <v>4</v>
      </c>
      <c r="B46" s="54" t="s">
        <v>16</v>
      </c>
      <c r="C46" s="55" t="s">
        <v>1</v>
      </c>
      <c r="D46" s="139" t="s">
        <v>2</v>
      </c>
    </row>
    <row r="47" spans="1:7">
      <c r="A47" s="56"/>
      <c r="B47" s="57" t="s">
        <v>17</v>
      </c>
      <c r="C47" s="58"/>
      <c r="D47" s="140"/>
    </row>
    <row r="48" spans="1:7" s="63" customFormat="1">
      <c r="A48" s="7" t="s">
        <v>117</v>
      </c>
      <c r="B48" s="29">
        <v>43000000</v>
      </c>
      <c r="C48" s="80"/>
      <c r="D48" s="138"/>
      <c r="E48" s="3"/>
      <c r="F48" s="184"/>
      <c r="G48" s="3"/>
    </row>
    <row r="49" spans="1:8" s="63" customFormat="1">
      <c r="A49" s="7" t="s">
        <v>118</v>
      </c>
      <c r="B49" s="29">
        <v>43100000</v>
      </c>
      <c r="C49" s="136"/>
      <c r="D49" s="136"/>
      <c r="E49" s="3"/>
      <c r="F49" s="184"/>
      <c r="G49" s="3"/>
    </row>
    <row r="50" spans="1:8">
      <c r="A50" s="21" t="s">
        <v>119</v>
      </c>
      <c r="B50" s="67">
        <v>43100001</v>
      </c>
      <c r="C50" s="26"/>
      <c r="D50" s="32"/>
      <c r="F50" s="184"/>
    </row>
    <row r="51" spans="1:8">
      <c r="A51" s="21" t="s">
        <v>120</v>
      </c>
      <c r="B51" s="67">
        <v>43100002</v>
      </c>
      <c r="C51" s="104">
        <v>20000000</v>
      </c>
      <c r="D51" s="137">
        <v>5566536</v>
      </c>
      <c r="F51" s="184"/>
    </row>
    <row r="52" spans="1:8">
      <c r="A52" s="21" t="s">
        <v>121</v>
      </c>
      <c r="B52" s="67"/>
      <c r="C52" s="61"/>
      <c r="D52" s="61"/>
      <c r="F52" s="184"/>
    </row>
    <row r="53" spans="1:8" ht="19.5" thickBot="1">
      <c r="A53" s="29" t="s">
        <v>97</v>
      </c>
      <c r="B53" s="62"/>
      <c r="C53" s="34">
        <f>SUM(C51:C52)</f>
        <v>20000000</v>
      </c>
      <c r="D53" s="34">
        <f>SUM(D51:D52)</f>
        <v>5566536</v>
      </c>
      <c r="F53" s="184"/>
      <c r="G53" s="18"/>
    </row>
    <row r="54" spans="1:8" s="63" customFormat="1" ht="19.5" thickTop="1">
      <c r="A54" s="7" t="s">
        <v>122</v>
      </c>
      <c r="B54" s="29">
        <v>44000000</v>
      </c>
      <c r="C54" s="80"/>
      <c r="D54" s="138"/>
      <c r="E54" s="3"/>
      <c r="F54" s="184"/>
      <c r="G54" s="3"/>
    </row>
    <row r="55" spans="1:8" s="63" customFormat="1">
      <c r="A55" s="7" t="s">
        <v>123</v>
      </c>
      <c r="B55" s="29">
        <v>44100000</v>
      </c>
      <c r="C55" s="136"/>
      <c r="D55" s="136"/>
      <c r="E55" s="3"/>
      <c r="F55" s="184"/>
      <c r="G55" s="3"/>
    </row>
    <row r="56" spans="1:8">
      <c r="A56" s="21" t="s">
        <v>125</v>
      </c>
      <c r="B56" s="67">
        <v>44100001</v>
      </c>
      <c r="C56" s="103">
        <v>0</v>
      </c>
      <c r="D56" s="32">
        <v>0</v>
      </c>
      <c r="F56" s="184"/>
      <c r="H56" s="18"/>
    </row>
    <row r="57" spans="1:8">
      <c r="A57" s="21" t="s">
        <v>124</v>
      </c>
      <c r="B57" s="67"/>
      <c r="C57" s="103"/>
      <c r="D57" s="24"/>
      <c r="F57" s="184"/>
    </row>
    <row r="58" spans="1:8">
      <c r="A58" s="21" t="s">
        <v>126</v>
      </c>
      <c r="B58" s="25">
        <v>44100002</v>
      </c>
      <c r="C58" s="103">
        <v>0</v>
      </c>
      <c r="D58" s="24">
        <v>0</v>
      </c>
      <c r="F58" s="184"/>
    </row>
    <row r="59" spans="1:8">
      <c r="A59" s="29" t="s">
        <v>97</v>
      </c>
      <c r="B59" s="67"/>
      <c r="C59" s="61">
        <f>SUM(C56:C58)</f>
        <v>0</v>
      </c>
      <c r="D59" s="61">
        <f>SUM(D56:D58)</f>
        <v>0</v>
      </c>
      <c r="F59" s="184"/>
    </row>
    <row r="60" spans="1:8" ht="19.5" thickBot="1">
      <c r="A60" s="65" t="s">
        <v>97</v>
      </c>
      <c r="B60" s="64"/>
      <c r="C60" s="34">
        <f>SUM(C12+C25+C28+C32+C44+C53+C59)</f>
        <v>36000000</v>
      </c>
      <c r="D60" s="34">
        <f>SUM(D12+D25+D28+D32+D44+D53+D59)</f>
        <v>6944756.9500000002</v>
      </c>
      <c r="F60" s="184"/>
    </row>
    <row r="61" spans="1:8" ht="19.5" thickTop="1"/>
    <row r="62" spans="1:8">
      <c r="B62" s="243"/>
    </row>
    <row r="63" spans="1:8">
      <c r="B63" s="243"/>
    </row>
    <row r="64" spans="1:8">
      <c r="B64" s="243"/>
    </row>
    <row r="65" spans="2:2">
      <c r="B65" s="243"/>
    </row>
    <row r="66" spans="2:2">
      <c r="B66" s="243"/>
    </row>
    <row r="67" spans="2:2">
      <c r="B67" s="243"/>
    </row>
    <row r="68" spans="2:2">
      <c r="B68" s="243"/>
    </row>
    <row r="69" spans="2:2">
      <c r="B69" s="243"/>
    </row>
    <row r="70" spans="2:2">
      <c r="B70" s="243"/>
    </row>
    <row r="71" spans="2:2">
      <c r="B71" s="243"/>
    </row>
    <row r="72" spans="2:2">
      <c r="B72" s="243"/>
    </row>
    <row r="73" spans="2:2">
      <c r="B73" s="243"/>
    </row>
    <row r="74" spans="2:2">
      <c r="B74" s="243"/>
    </row>
    <row r="75" spans="2:2">
      <c r="B75" s="243"/>
    </row>
    <row r="76" spans="2:2">
      <c r="B76" s="243"/>
    </row>
    <row r="77" spans="2:2">
      <c r="B77" s="243"/>
    </row>
    <row r="78" spans="2:2">
      <c r="B78" s="243"/>
    </row>
    <row r="79" spans="2:2">
      <c r="B79" s="243"/>
    </row>
    <row r="80" spans="2:2">
      <c r="B80" s="243"/>
    </row>
    <row r="81" spans="1:4">
      <c r="B81" s="243"/>
    </row>
    <row r="82" spans="1:4">
      <c r="B82" s="243"/>
    </row>
    <row r="83" spans="1:4">
      <c r="B83" s="243"/>
    </row>
    <row r="84" spans="1:4">
      <c r="B84" s="243"/>
    </row>
    <row r="85" spans="1:4">
      <c r="B85" s="243"/>
    </row>
    <row r="86" spans="1:4">
      <c r="B86" s="243"/>
    </row>
    <row r="87" spans="1:4">
      <c r="B87" s="243"/>
    </row>
    <row r="88" spans="1:4">
      <c r="B88" s="243"/>
    </row>
    <row r="89" spans="1:4">
      <c r="B89" s="243"/>
    </row>
    <row r="91" spans="1:4" ht="21">
      <c r="A91" s="308" t="s">
        <v>106</v>
      </c>
      <c r="B91" s="308"/>
      <c r="C91" s="308"/>
      <c r="D91" s="308"/>
    </row>
    <row r="92" spans="1:4" ht="21">
      <c r="A92" s="308" t="s">
        <v>105</v>
      </c>
      <c r="B92" s="308"/>
      <c r="C92" s="308"/>
      <c r="D92" s="308"/>
    </row>
    <row r="93" spans="1:4" ht="21">
      <c r="A93" s="306" t="s">
        <v>227</v>
      </c>
      <c r="B93" s="306"/>
      <c r="C93" s="306"/>
      <c r="D93" s="306"/>
    </row>
    <row r="94" spans="1:4" ht="21">
      <c r="A94" s="53" t="s">
        <v>4</v>
      </c>
      <c r="B94" s="54" t="s">
        <v>16</v>
      </c>
      <c r="C94" s="55" t="s">
        <v>1</v>
      </c>
      <c r="D94" s="139" t="s">
        <v>2</v>
      </c>
    </row>
    <row r="95" spans="1:4">
      <c r="A95" s="56"/>
      <c r="B95" s="57" t="s">
        <v>17</v>
      </c>
      <c r="C95" s="58"/>
      <c r="D95" s="140"/>
    </row>
    <row r="96" spans="1:4">
      <c r="A96" s="59" t="s">
        <v>108</v>
      </c>
      <c r="B96" s="54">
        <v>41000000</v>
      </c>
      <c r="C96" s="68"/>
      <c r="D96" s="69"/>
    </row>
    <row r="97" spans="1:4">
      <c r="A97" s="7" t="s">
        <v>107</v>
      </c>
      <c r="B97" s="60">
        <v>41100000</v>
      </c>
      <c r="C97" s="136"/>
      <c r="D97" s="136"/>
    </row>
    <row r="98" spans="1:4">
      <c r="A98" s="135" t="s">
        <v>110</v>
      </c>
      <c r="B98" s="62">
        <v>41100001</v>
      </c>
      <c r="C98" s="26">
        <v>80000</v>
      </c>
      <c r="D98" s="32">
        <v>0</v>
      </c>
    </row>
    <row r="99" spans="1:4">
      <c r="A99" s="135" t="s">
        <v>111</v>
      </c>
      <c r="B99" s="62">
        <v>41100002</v>
      </c>
      <c r="C99" s="26">
        <v>100000</v>
      </c>
      <c r="D99" s="32">
        <v>497.26</v>
      </c>
    </row>
    <row r="100" spans="1:4">
      <c r="A100" s="135" t="s">
        <v>112</v>
      </c>
      <c r="B100" s="62">
        <v>41100003</v>
      </c>
      <c r="C100" s="103">
        <v>6000</v>
      </c>
      <c r="D100" s="32">
        <v>0</v>
      </c>
    </row>
    <row r="101" spans="1:4">
      <c r="A101" s="135" t="s">
        <v>208</v>
      </c>
      <c r="B101" s="62">
        <v>41100004</v>
      </c>
      <c r="C101" s="104">
        <v>0</v>
      </c>
      <c r="D101" s="32">
        <v>0</v>
      </c>
    </row>
    <row r="102" spans="1:4" ht="19.5" thickBot="1">
      <c r="A102" s="29" t="s">
        <v>97</v>
      </c>
      <c r="B102" s="62"/>
      <c r="C102" s="34">
        <f>SUM(C98:C101)</f>
        <v>186000</v>
      </c>
      <c r="D102" s="34">
        <f>SUM(D98:D101)</f>
        <v>497.26</v>
      </c>
    </row>
    <row r="103" spans="1:4" ht="19.5" thickTop="1">
      <c r="A103" s="7" t="s">
        <v>109</v>
      </c>
      <c r="B103" s="60">
        <v>41200000</v>
      </c>
      <c r="C103" s="80"/>
      <c r="D103" s="80"/>
    </row>
    <row r="104" spans="1:4">
      <c r="A104" s="135" t="s">
        <v>167</v>
      </c>
      <c r="B104" s="62">
        <v>41210004</v>
      </c>
      <c r="C104" s="26">
        <v>1000</v>
      </c>
      <c r="D104" s="109">
        <f>0</f>
        <v>0</v>
      </c>
    </row>
    <row r="105" spans="1:4">
      <c r="A105" s="135" t="s">
        <v>168</v>
      </c>
      <c r="B105" s="62">
        <v>41210005</v>
      </c>
      <c r="C105" s="26">
        <v>2500</v>
      </c>
      <c r="D105" s="109">
        <f>0</f>
        <v>0</v>
      </c>
    </row>
    <row r="106" spans="1:4">
      <c r="A106" s="21" t="s">
        <v>169</v>
      </c>
      <c r="B106" s="62">
        <v>41210007</v>
      </c>
      <c r="C106" s="26">
        <v>1500</v>
      </c>
      <c r="D106" s="109">
        <v>82</v>
      </c>
    </row>
    <row r="107" spans="1:4">
      <c r="A107" s="21" t="s">
        <v>170</v>
      </c>
      <c r="B107" s="62">
        <v>41210009</v>
      </c>
      <c r="C107" s="26">
        <v>10000</v>
      </c>
      <c r="D107" s="109">
        <f>0</f>
        <v>0</v>
      </c>
    </row>
    <row r="108" spans="1:4">
      <c r="A108" s="43" t="s">
        <v>171</v>
      </c>
      <c r="B108" s="62">
        <v>41210012</v>
      </c>
      <c r="C108" s="26">
        <v>200</v>
      </c>
      <c r="D108" s="109">
        <v>10</v>
      </c>
    </row>
    <row r="109" spans="1:4">
      <c r="A109" s="21" t="s">
        <v>172</v>
      </c>
      <c r="B109" s="62">
        <v>41210029</v>
      </c>
      <c r="C109" s="26">
        <v>300</v>
      </c>
      <c r="D109" s="109">
        <v>20</v>
      </c>
    </row>
    <row r="110" spans="1:4">
      <c r="A110" s="21" t="s">
        <v>173</v>
      </c>
      <c r="B110" s="62">
        <v>41220002</v>
      </c>
      <c r="C110" s="26">
        <v>2000</v>
      </c>
      <c r="D110" s="109">
        <v>200</v>
      </c>
    </row>
    <row r="111" spans="1:4">
      <c r="A111" s="21" t="s">
        <v>174</v>
      </c>
      <c r="B111" s="62">
        <v>41220010</v>
      </c>
      <c r="C111" s="26">
        <v>50000</v>
      </c>
      <c r="D111" s="109">
        <f>0</f>
        <v>0</v>
      </c>
    </row>
    <row r="112" spans="1:4">
      <c r="A112" s="21" t="s">
        <v>175</v>
      </c>
      <c r="B112" s="62">
        <v>41230003</v>
      </c>
      <c r="C112" s="26">
        <v>40000</v>
      </c>
      <c r="D112" s="109">
        <v>11500</v>
      </c>
    </row>
    <row r="113" spans="1:7">
      <c r="A113" s="21" t="s">
        <v>176</v>
      </c>
      <c r="B113" s="62">
        <v>41230007</v>
      </c>
      <c r="C113" s="103">
        <v>1000</v>
      </c>
      <c r="D113" s="109">
        <v>75</v>
      </c>
    </row>
    <row r="114" spans="1:7">
      <c r="A114" s="21" t="s">
        <v>177</v>
      </c>
      <c r="B114" s="62">
        <v>41239999</v>
      </c>
      <c r="C114" s="104">
        <v>5000</v>
      </c>
      <c r="D114" s="109">
        <f>0</f>
        <v>0</v>
      </c>
    </row>
    <row r="115" spans="1:7" ht="19.5" thickBot="1">
      <c r="A115" s="29" t="s">
        <v>97</v>
      </c>
      <c r="B115" s="62"/>
      <c r="C115" s="34">
        <f>SUM(C104:C114)</f>
        <v>113500</v>
      </c>
      <c r="D115" s="34">
        <f>SUM(D104:D114)</f>
        <v>11887</v>
      </c>
    </row>
    <row r="116" spans="1:7" ht="19.5" thickTop="1">
      <c r="A116" s="7" t="s">
        <v>113</v>
      </c>
      <c r="B116" s="60">
        <v>413000000</v>
      </c>
      <c r="C116" s="80"/>
      <c r="D116" s="80"/>
    </row>
    <row r="117" spans="1:7">
      <c r="A117" s="21" t="s">
        <v>24</v>
      </c>
      <c r="B117" s="62">
        <v>41300003</v>
      </c>
      <c r="C117" s="104">
        <v>100000</v>
      </c>
      <c r="D117" s="137">
        <v>0</v>
      </c>
    </row>
    <row r="118" spans="1:7" ht="19.5" thickBot="1">
      <c r="A118" s="29" t="s">
        <v>97</v>
      </c>
      <c r="B118" s="62"/>
      <c r="C118" s="34">
        <f>SUM(C117)</f>
        <v>100000</v>
      </c>
      <c r="D118" s="34">
        <f>SUM(D117)</f>
        <v>0</v>
      </c>
    </row>
    <row r="119" spans="1:7" s="31" customFormat="1" ht="19.5" thickTop="1">
      <c r="A119" s="7" t="s">
        <v>114</v>
      </c>
      <c r="B119" s="60">
        <v>41500000</v>
      </c>
      <c r="C119" s="80"/>
      <c r="D119" s="80"/>
      <c r="E119" s="30"/>
      <c r="F119" s="247"/>
      <c r="G119" s="30"/>
    </row>
    <row r="120" spans="1:7" s="31" customFormat="1">
      <c r="A120" s="21" t="s">
        <v>41</v>
      </c>
      <c r="B120" s="62">
        <v>41500004</v>
      </c>
      <c r="C120" s="26">
        <v>10000</v>
      </c>
      <c r="D120" s="32">
        <v>2000</v>
      </c>
      <c r="E120" s="30"/>
      <c r="F120" s="247"/>
      <c r="G120" s="30"/>
    </row>
    <row r="121" spans="1:7" s="31" customFormat="1">
      <c r="A121" s="21" t="s">
        <v>138</v>
      </c>
      <c r="B121" s="62">
        <v>41599999</v>
      </c>
      <c r="C121" s="134">
        <v>500</v>
      </c>
      <c r="D121" s="71">
        <v>0</v>
      </c>
      <c r="E121" s="30"/>
      <c r="F121" s="247"/>
      <c r="G121" s="30"/>
    </row>
    <row r="122" spans="1:7" s="31" customFormat="1" ht="19.5" thickBot="1">
      <c r="A122" s="29" t="s">
        <v>97</v>
      </c>
      <c r="B122" s="62"/>
      <c r="C122" s="34">
        <f>SUM(C120:C121)</f>
        <v>10500</v>
      </c>
      <c r="D122" s="34">
        <f>SUM(D120:D121)</f>
        <v>2000</v>
      </c>
      <c r="E122" s="30"/>
      <c r="F122" s="247"/>
      <c r="G122" s="30"/>
    </row>
    <row r="123" spans="1:7" s="31" customFormat="1" ht="19.5" thickTop="1">
      <c r="A123" s="7" t="s">
        <v>115</v>
      </c>
      <c r="B123" s="62">
        <v>42000000</v>
      </c>
      <c r="C123" s="80"/>
      <c r="D123" s="80"/>
      <c r="E123" s="30"/>
      <c r="F123" s="247"/>
      <c r="G123" s="30"/>
    </row>
    <row r="124" spans="1:7" s="31" customFormat="1">
      <c r="A124" s="7" t="s">
        <v>116</v>
      </c>
      <c r="B124" s="62">
        <v>42100000</v>
      </c>
      <c r="C124" s="136"/>
      <c r="D124" s="136"/>
      <c r="E124" s="30"/>
      <c r="F124" s="247"/>
      <c r="G124" s="30"/>
    </row>
    <row r="125" spans="1:7" s="31" customFormat="1">
      <c r="A125" s="21" t="s">
        <v>139</v>
      </c>
      <c r="B125" s="62">
        <v>42100001</v>
      </c>
      <c r="C125" s="26">
        <v>1000000</v>
      </c>
      <c r="D125" s="26">
        <v>99258.32</v>
      </c>
      <c r="E125" s="30"/>
      <c r="F125" s="247"/>
      <c r="G125" s="30"/>
    </row>
    <row r="126" spans="1:7" s="31" customFormat="1">
      <c r="A126" s="21" t="s">
        <v>140</v>
      </c>
      <c r="B126" s="62">
        <v>42100002</v>
      </c>
      <c r="C126" s="26">
        <v>8000000</v>
      </c>
      <c r="D126" s="26">
        <v>1637456.38</v>
      </c>
      <c r="E126" s="30"/>
      <c r="F126" s="247"/>
      <c r="G126" s="30"/>
    </row>
    <row r="127" spans="1:7" s="31" customFormat="1">
      <c r="A127" s="21" t="s">
        <v>141</v>
      </c>
      <c r="B127" s="62">
        <v>42100004</v>
      </c>
      <c r="C127" s="26">
        <v>2500000</v>
      </c>
      <c r="D127" s="26">
        <v>329074.09000000003</v>
      </c>
      <c r="E127" s="30"/>
      <c r="F127" s="247"/>
      <c r="G127" s="30"/>
    </row>
    <row r="128" spans="1:7" s="31" customFormat="1">
      <c r="A128" s="21" t="s">
        <v>142</v>
      </c>
      <c r="B128" s="62">
        <v>42100005</v>
      </c>
      <c r="C128" s="103">
        <v>100000</v>
      </c>
      <c r="D128" s="103">
        <v>21094.12</v>
      </c>
      <c r="E128" s="30"/>
      <c r="F128" s="247"/>
      <c r="G128" s="30"/>
    </row>
    <row r="129" spans="1:7" s="31" customFormat="1">
      <c r="A129" s="21" t="s">
        <v>143</v>
      </c>
      <c r="B129" s="62">
        <v>42100006</v>
      </c>
      <c r="C129" s="26">
        <v>0</v>
      </c>
      <c r="D129" s="26">
        <v>0</v>
      </c>
      <c r="E129" s="30"/>
      <c r="F129" s="247"/>
      <c r="G129" s="30"/>
    </row>
    <row r="130" spans="1:7" s="31" customFormat="1">
      <c r="A130" s="21" t="s">
        <v>144</v>
      </c>
      <c r="B130" s="62">
        <v>42100007</v>
      </c>
      <c r="C130" s="26">
        <v>3410000</v>
      </c>
      <c r="D130" s="26">
        <v>742770.21</v>
      </c>
      <c r="E130" s="30"/>
      <c r="F130" s="247"/>
      <c r="G130" s="30"/>
    </row>
    <row r="131" spans="1:7" s="31" customFormat="1">
      <c r="A131" s="21" t="s">
        <v>145</v>
      </c>
      <c r="B131" s="62">
        <v>42100012</v>
      </c>
      <c r="C131" s="26">
        <v>80000</v>
      </c>
      <c r="D131" s="26">
        <v>0</v>
      </c>
      <c r="E131" s="30"/>
      <c r="F131" s="247"/>
      <c r="G131" s="30"/>
    </row>
    <row r="132" spans="1:7" s="31" customFormat="1">
      <c r="A132" s="21" t="s">
        <v>146</v>
      </c>
      <c r="B132" s="62">
        <v>42100013</v>
      </c>
      <c r="C132" s="26">
        <v>50000</v>
      </c>
      <c r="D132" s="26">
        <v>11585.92</v>
      </c>
      <c r="E132" s="30"/>
      <c r="F132" s="247"/>
      <c r="G132" s="30"/>
    </row>
    <row r="133" spans="1:7" s="31" customFormat="1">
      <c r="A133" s="21" t="s">
        <v>147</v>
      </c>
      <c r="B133" s="62">
        <v>42100015</v>
      </c>
      <c r="C133" s="134">
        <v>450000</v>
      </c>
      <c r="D133" s="26">
        <v>87504</v>
      </c>
      <c r="E133" s="30"/>
      <c r="F133" s="247"/>
      <c r="G133" s="30"/>
    </row>
    <row r="134" spans="1:7" s="31" customFormat="1">
      <c r="A134" s="65" t="s">
        <v>97</v>
      </c>
      <c r="B134" s="64"/>
      <c r="C134" s="61">
        <f>SUM(C125:C133)</f>
        <v>15590000</v>
      </c>
      <c r="D134" s="66">
        <f>SUM(D125:D133)</f>
        <v>2928743.04</v>
      </c>
      <c r="E134" s="30"/>
      <c r="F134" s="247"/>
      <c r="G134" s="30"/>
    </row>
    <row r="135" spans="1:7" s="31" customFormat="1">
      <c r="A135" s="213"/>
      <c r="B135" s="146"/>
      <c r="C135" s="85"/>
      <c r="D135" s="85"/>
      <c r="E135" s="30"/>
      <c r="F135" s="247"/>
      <c r="G135" s="30"/>
    </row>
    <row r="136" spans="1:7" s="31" customFormat="1" ht="21">
      <c r="A136" s="53" t="s">
        <v>4</v>
      </c>
      <c r="B136" s="54" t="s">
        <v>16</v>
      </c>
      <c r="C136" s="55" t="s">
        <v>1</v>
      </c>
      <c r="D136" s="139" t="s">
        <v>2</v>
      </c>
      <c r="E136" s="30"/>
      <c r="F136" s="247"/>
      <c r="G136" s="30"/>
    </row>
    <row r="137" spans="1:7" s="31" customFormat="1">
      <c r="A137" s="56"/>
      <c r="B137" s="57" t="s">
        <v>17</v>
      </c>
      <c r="C137" s="58"/>
      <c r="D137" s="140"/>
      <c r="E137" s="30"/>
      <c r="F137" s="247"/>
      <c r="G137" s="30"/>
    </row>
    <row r="138" spans="1:7" s="31" customFormat="1">
      <c r="A138" s="7" t="s">
        <v>117</v>
      </c>
      <c r="B138" s="29">
        <v>43000000</v>
      </c>
      <c r="C138" s="80"/>
      <c r="D138" s="138"/>
      <c r="E138" s="30"/>
      <c r="F138" s="247"/>
      <c r="G138" s="30"/>
    </row>
    <row r="139" spans="1:7" s="31" customFormat="1">
      <c r="A139" s="7" t="s">
        <v>118</v>
      </c>
      <c r="B139" s="29">
        <v>43100000</v>
      </c>
      <c r="C139" s="136"/>
      <c r="D139" s="136"/>
      <c r="E139" s="30"/>
      <c r="F139" s="247"/>
      <c r="G139" s="30"/>
    </row>
    <row r="140" spans="1:7" s="31" customFormat="1">
      <c r="A140" s="21" t="s">
        <v>119</v>
      </c>
      <c r="B140" s="67">
        <v>43100001</v>
      </c>
      <c r="C140" s="26"/>
      <c r="D140" s="32"/>
      <c r="E140" s="30"/>
      <c r="F140" s="247"/>
      <c r="G140" s="30"/>
    </row>
    <row r="141" spans="1:7" s="31" customFormat="1">
      <c r="A141" s="21" t="s">
        <v>120</v>
      </c>
      <c r="B141" s="67">
        <v>43100002</v>
      </c>
      <c r="C141" s="104">
        <v>20000000</v>
      </c>
      <c r="D141" s="137">
        <v>5566536</v>
      </c>
      <c r="E141" s="30"/>
      <c r="F141" s="247"/>
      <c r="G141" s="30"/>
    </row>
    <row r="142" spans="1:7" s="31" customFormat="1">
      <c r="A142" s="21" t="s">
        <v>121</v>
      </c>
      <c r="B142" s="67"/>
      <c r="C142" s="61"/>
      <c r="D142" s="61"/>
      <c r="E142" s="30"/>
      <c r="F142" s="247"/>
      <c r="G142" s="30"/>
    </row>
    <row r="143" spans="1:7" s="31" customFormat="1" ht="19.5" thickBot="1">
      <c r="A143" s="29" t="s">
        <v>97</v>
      </c>
      <c r="B143" s="62"/>
      <c r="C143" s="34">
        <f>SUM(C141:C142)</f>
        <v>20000000</v>
      </c>
      <c r="D143" s="34">
        <f>SUM(D141:D142)</f>
        <v>5566536</v>
      </c>
      <c r="E143" s="30"/>
      <c r="F143" s="247"/>
      <c r="G143" s="30"/>
    </row>
    <row r="144" spans="1:7" s="31" customFormat="1" ht="19.5" thickTop="1">
      <c r="A144" s="7" t="s">
        <v>122</v>
      </c>
      <c r="B144" s="29">
        <v>44000000</v>
      </c>
      <c r="C144" s="80"/>
      <c r="D144" s="138"/>
      <c r="E144" s="30"/>
      <c r="F144" s="247"/>
      <c r="G144" s="30"/>
    </row>
    <row r="145" spans="1:7" s="31" customFormat="1">
      <c r="A145" s="7" t="s">
        <v>123</v>
      </c>
      <c r="B145" s="29">
        <v>44100000</v>
      </c>
      <c r="C145" s="136"/>
      <c r="D145" s="136"/>
      <c r="E145" s="30"/>
      <c r="F145" s="247"/>
      <c r="G145" s="30"/>
    </row>
    <row r="146" spans="1:7" s="31" customFormat="1">
      <c r="A146" s="21" t="s">
        <v>125</v>
      </c>
      <c r="B146" s="67">
        <v>44100001</v>
      </c>
      <c r="C146" s="103">
        <v>0</v>
      </c>
      <c r="D146" s="32">
        <v>0</v>
      </c>
      <c r="E146" s="30"/>
      <c r="F146" s="247"/>
      <c r="G146" s="30"/>
    </row>
    <row r="147" spans="1:7" s="31" customFormat="1">
      <c r="A147" s="21" t="s">
        <v>124</v>
      </c>
      <c r="B147" s="67"/>
      <c r="C147" s="103"/>
      <c r="D147" s="24"/>
      <c r="E147" s="30"/>
      <c r="F147" s="247"/>
      <c r="G147" s="30"/>
    </row>
    <row r="148" spans="1:7" s="31" customFormat="1">
      <c r="A148" s="21" t="s">
        <v>126</v>
      </c>
      <c r="B148" s="25">
        <v>44100002</v>
      </c>
      <c r="C148" s="103">
        <v>0</v>
      </c>
      <c r="D148" s="24">
        <v>0</v>
      </c>
      <c r="E148" s="30"/>
      <c r="F148" s="247"/>
      <c r="G148" s="30"/>
    </row>
    <row r="149" spans="1:7" s="31" customFormat="1">
      <c r="A149" s="29" t="s">
        <v>97</v>
      </c>
      <c r="B149" s="67"/>
      <c r="C149" s="61">
        <f>SUM(C146:C148)</f>
        <v>0</v>
      </c>
      <c r="D149" s="61">
        <f>SUM(D146:D148)</f>
        <v>0</v>
      </c>
      <c r="E149" s="30"/>
      <c r="F149" s="247"/>
      <c r="G149" s="30"/>
    </row>
    <row r="150" spans="1:7" s="31" customFormat="1" ht="19.5" thickBot="1">
      <c r="A150" s="65" t="s">
        <v>97</v>
      </c>
      <c r="B150" s="64"/>
      <c r="C150" s="34">
        <f>SUM(C102+C115+C118+C122+C134+C143+C149)</f>
        <v>36000000</v>
      </c>
      <c r="D150" s="34">
        <f>SUM(D102+D115+D118+D122+D134+D143+D149)</f>
        <v>8509663.3000000007</v>
      </c>
      <c r="E150" s="30"/>
      <c r="F150" s="247"/>
      <c r="G150" s="30"/>
    </row>
    <row r="151" spans="1:7" s="31" customFormat="1" ht="19.5" thickTop="1">
      <c r="A151" s="250"/>
      <c r="B151" s="185"/>
      <c r="C151" s="74"/>
      <c r="D151" s="74"/>
      <c r="E151" s="30"/>
      <c r="F151" s="247"/>
      <c r="G151" s="30"/>
    </row>
    <row r="152" spans="1:7" s="31" customFormat="1">
      <c r="A152" s="250"/>
      <c r="B152" s="185"/>
      <c r="C152" s="74"/>
      <c r="D152" s="74"/>
      <c r="E152" s="30"/>
      <c r="F152" s="247"/>
      <c r="G152" s="30"/>
    </row>
    <row r="153" spans="1:7" s="31" customFormat="1">
      <c r="B153" s="185"/>
      <c r="C153" s="30"/>
      <c r="D153" s="30"/>
      <c r="E153" s="30"/>
      <c r="F153" s="247"/>
      <c r="G153" s="30"/>
    </row>
    <row r="154" spans="1:7" s="31" customFormat="1">
      <c r="B154" s="185"/>
      <c r="C154" s="30"/>
      <c r="D154" s="30"/>
      <c r="E154" s="30"/>
      <c r="F154" s="247"/>
      <c r="G154" s="30"/>
    </row>
    <row r="155" spans="1:7" s="31" customFormat="1">
      <c r="B155" s="185"/>
      <c r="C155" s="30"/>
      <c r="D155" s="30"/>
      <c r="E155" s="30"/>
      <c r="F155" s="247"/>
      <c r="G155" s="30"/>
    </row>
    <row r="156" spans="1:7" s="31" customFormat="1">
      <c r="B156" s="185"/>
      <c r="C156" s="30"/>
      <c r="D156" s="30"/>
      <c r="E156" s="30"/>
      <c r="F156" s="247"/>
      <c r="G156" s="30"/>
    </row>
    <row r="157" spans="1:7" s="31" customFormat="1">
      <c r="B157" s="185"/>
      <c r="C157" s="30"/>
      <c r="D157" s="30"/>
      <c r="E157" s="30"/>
      <c r="F157" s="247"/>
      <c r="G157" s="30"/>
    </row>
    <row r="158" spans="1:7" s="31" customFormat="1">
      <c r="B158" s="185"/>
      <c r="C158" s="30"/>
      <c r="D158" s="30"/>
      <c r="E158" s="30"/>
      <c r="F158" s="247"/>
      <c r="G158" s="30"/>
    </row>
    <row r="159" spans="1:7" s="31" customFormat="1">
      <c r="B159" s="185"/>
      <c r="C159" s="30"/>
      <c r="D159" s="30"/>
      <c r="E159" s="30"/>
      <c r="F159" s="247"/>
      <c r="G159" s="30"/>
    </row>
    <row r="160" spans="1:7" s="31" customFormat="1">
      <c r="B160" s="185"/>
      <c r="C160" s="30"/>
      <c r="D160" s="30"/>
      <c r="E160" s="30"/>
      <c r="F160" s="247"/>
      <c r="G160" s="30"/>
    </row>
    <row r="161" spans="1:7" s="31" customFormat="1">
      <c r="B161" s="185"/>
      <c r="C161" s="30"/>
      <c r="D161" s="30"/>
      <c r="E161" s="30"/>
      <c r="F161" s="247"/>
      <c r="G161" s="30"/>
    </row>
    <row r="162" spans="1:7" s="31" customFormat="1">
      <c r="A162" s="239"/>
      <c r="B162" s="185"/>
      <c r="C162" s="74"/>
      <c r="D162" s="78"/>
      <c r="E162" s="30"/>
      <c r="F162" s="247"/>
      <c r="G162" s="30"/>
    </row>
    <row r="163" spans="1:7" s="31" customFormat="1">
      <c r="B163" s="185"/>
      <c r="C163" s="30"/>
      <c r="D163" s="30"/>
      <c r="E163" s="30"/>
      <c r="F163" s="247"/>
      <c r="G163" s="30"/>
    </row>
    <row r="164" spans="1:7" s="31" customFormat="1" ht="21">
      <c r="A164" s="50"/>
      <c r="B164" s="77"/>
      <c r="C164" s="248"/>
      <c r="D164" s="249"/>
      <c r="E164" s="30"/>
      <c r="F164" s="247"/>
      <c r="G164" s="30"/>
    </row>
    <row r="165" spans="1:7" s="31" customFormat="1">
      <c r="A165" s="77"/>
      <c r="B165" s="77"/>
      <c r="C165" s="248"/>
      <c r="D165" s="248"/>
      <c r="E165" s="30"/>
      <c r="F165" s="247"/>
      <c r="G165" s="30"/>
    </row>
    <row r="166" spans="1:7" s="31" customFormat="1">
      <c r="A166" s="250"/>
      <c r="B166" s="239"/>
      <c r="C166" s="74"/>
      <c r="D166" s="78"/>
      <c r="E166" s="30"/>
      <c r="F166" s="247"/>
      <c r="G166" s="30"/>
    </row>
    <row r="167" spans="1:7" s="31" customFormat="1">
      <c r="A167" s="250"/>
      <c r="B167" s="239"/>
      <c r="C167" s="74"/>
      <c r="D167" s="74"/>
      <c r="E167" s="30"/>
      <c r="F167" s="247"/>
      <c r="G167" s="30"/>
    </row>
    <row r="168" spans="1:7" s="31" customFormat="1">
      <c r="B168" s="77"/>
      <c r="C168" s="30"/>
      <c r="D168" s="42"/>
      <c r="E168" s="30"/>
      <c r="F168" s="247"/>
      <c r="G168" s="30"/>
    </row>
    <row r="169" spans="1:7" s="31" customFormat="1">
      <c r="B169" s="77"/>
      <c r="C169" s="30"/>
      <c r="D169" s="42"/>
      <c r="E169" s="30"/>
      <c r="F169" s="247"/>
      <c r="G169" s="30"/>
    </row>
    <row r="170" spans="1:7" s="31" customFormat="1">
      <c r="B170" s="77"/>
      <c r="C170" s="74"/>
      <c r="D170" s="74"/>
      <c r="E170" s="30"/>
      <c r="F170" s="247"/>
      <c r="G170" s="30"/>
    </row>
    <row r="171" spans="1:7" s="31" customFormat="1">
      <c r="A171" s="239"/>
      <c r="B171" s="185"/>
      <c r="C171" s="74"/>
      <c r="D171" s="74"/>
      <c r="E171" s="30"/>
      <c r="F171" s="247"/>
      <c r="G171" s="30"/>
    </row>
    <row r="172" spans="1:7" s="31" customFormat="1">
      <c r="A172" s="250"/>
      <c r="B172" s="239"/>
      <c r="C172" s="74"/>
      <c r="D172" s="78"/>
      <c r="E172" s="30"/>
      <c r="F172" s="247"/>
      <c r="G172" s="30"/>
    </row>
    <row r="173" spans="1:7" s="31" customFormat="1">
      <c r="A173" s="250"/>
      <c r="B173" s="239"/>
      <c r="C173" s="74"/>
      <c r="D173" s="74"/>
      <c r="E173" s="30"/>
      <c r="F173" s="247"/>
      <c r="G173" s="30"/>
    </row>
    <row r="174" spans="1:7" s="31" customFormat="1">
      <c r="B174" s="77"/>
      <c r="C174" s="30"/>
      <c r="D174" s="42"/>
      <c r="E174" s="30"/>
      <c r="F174" s="247"/>
      <c r="G174" s="30"/>
    </row>
    <row r="175" spans="1:7" s="31" customFormat="1">
      <c r="B175" s="77"/>
      <c r="C175" s="30"/>
      <c r="D175" s="42"/>
      <c r="E175" s="30"/>
      <c r="F175" s="247"/>
      <c r="G175" s="30"/>
    </row>
    <row r="176" spans="1:7" s="31" customFormat="1">
      <c r="B176" s="77"/>
      <c r="C176" s="30"/>
      <c r="D176" s="42"/>
      <c r="E176" s="30"/>
      <c r="F176" s="247"/>
      <c r="G176" s="30"/>
    </row>
    <row r="177" spans="1:7" s="31" customFormat="1">
      <c r="A177" s="239"/>
      <c r="B177" s="77"/>
      <c r="C177" s="74"/>
      <c r="D177" s="74"/>
      <c r="E177" s="30"/>
      <c r="F177" s="247"/>
      <c r="G177" s="30"/>
    </row>
    <row r="178" spans="1:7" s="31" customFormat="1">
      <c r="A178" s="239"/>
      <c r="B178" s="185"/>
      <c r="C178" s="74"/>
      <c r="D178" s="74"/>
      <c r="E178" s="30"/>
      <c r="F178" s="247"/>
      <c r="G178" s="30"/>
    </row>
    <row r="179" spans="1:7" s="31" customFormat="1">
      <c r="B179" s="77"/>
      <c r="C179" s="30"/>
      <c r="D179" s="42"/>
      <c r="E179" s="30"/>
      <c r="F179" s="247"/>
      <c r="G179" s="30"/>
    </row>
    <row r="180" spans="1:7" s="31" customFormat="1">
      <c r="B180" s="77"/>
      <c r="C180" s="30"/>
      <c r="D180" s="42"/>
      <c r="E180" s="30"/>
      <c r="F180" s="247"/>
      <c r="G180" s="30"/>
    </row>
    <row r="181" spans="1:7" ht="21">
      <c r="A181" s="308" t="s">
        <v>106</v>
      </c>
      <c r="B181" s="308"/>
      <c r="C181" s="308"/>
      <c r="D181" s="308"/>
    </row>
    <row r="182" spans="1:7" ht="21">
      <c r="A182" s="308" t="s">
        <v>105</v>
      </c>
      <c r="B182" s="308"/>
      <c r="C182" s="308"/>
      <c r="D182" s="308"/>
    </row>
    <row r="183" spans="1:7" ht="21">
      <c r="A183" s="306" t="s">
        <v>287</v>
      </c>
      <c r="B183" s="306"/>
      <c r="C183" s="306"/>
      <c r="D183" s="306"/>
    </row>
    <row r="184" spans="1:7" ht="21">
      <c r="A184" s="53" t="s">
        <v>4</v>
      </c>
      <c r="B184" s="54" t="s">
        <v>16</v>
      </c>
      <c r="C184" s="55" t="s">
        <v>1</v>
      </c>
      <c r="D184" s="139" t="s">
        <v>2</v>
      </c>
    </row>
    <row r="185" spans="1:7">
      <c r="A185" s="56"/>
      <c r="B185" s="57" t="s">
        <v>17</v>
      </c>
      <c r="C185" s="58"/>
      <c r="D185" s="140"/>
    </row>
    <row r="186" spans="1:7">
      <c r="A186" s="59" t="s">
        <v>108</v>
      </c>
      <c r="B186" s="54">
        <v>41000000</v>
      </c>
      <c r="C186" s="68"/>
      <c r="D186" s="69"/>
    </row>
    <row r="187" spans="1:7">
      <c r="A187" s="7" t="s">
        <v>107</v>
      </c>
      <c r="B187" s="60">
        <v>41100000</v>
      </c>
      <c r="C187" s="136"/>
      <c r="D187" s="136"/>
    </row>
    <row r="188" spans="1:7">
      <c r="A188" s="135" t="s">
        <v>110</v>
      </c>
      <c r="B188" s="62">
        <v>41100001</v>
      </c>
      <c r="C188" s="26">
        <v>80000</v>
      </c>
      <c r="D188" s="32">
        <v>0</v>
      </c>
    </row>
    <row r="189" spans="1:7">
      <c r="A189" s="135" t="s">
        <v>111</v>
      </c>
      <c r="B189" s="62">
        <v>41100002</v>
      </c>
      <c r="C189" s="26">
        <v>100000</v>
      </c>
      <c r="D189" s="32">
        <v>497.26</v>
      </c>
    </row>
    <row r="190" spans="1:7">
      <c r="A190" s="135" t="s">
        <v>112</v>
      </c>
      <c r="B190" s="62">
        <v>41100003</v>
      </c>
      <c r="C190" s="103">
        <v>6000</v>
      </c>
      <c r="D190" s="32">
        <v>0</v>
      </c>
    </row>
    <row r="191" spans="1:7">
      <c r="A191" s="135" t="s">
        <v>208</v>
      </c>
      <c r="B191" s="62">
        <v>41100004</v>
      </c>
      <c r="C191" s="104">
        <v>0</v>
      </c>
      <c r="D191" s="32">
        <v>0</v>
      </c>
    </row>
    <row r="192" spans="1:7" ht="19.5" thickBot="1">
      <c r="A192" s="29" t="s">
        <v>97</v>
      </c>
      <c r="B192" s="62"/>
      <c r="C192" s="34">
        <f>SUM(C188:C191)</f>
        <v>186000</v>
      </c>
      <c r="D192" s="34">
        <f>SUM(D188:D191)</f>
        <v>497.26</v>
      </c>
    </row>
    <row r="193" spans="1:4" ht="19.5" thickTop="1">
      <c r="A193" s="7" t="s">
        <v>109</v>
      </c>
      <c r="B193" s="60">
        <v>41200000</v>
      </c>
      <c r="C193" s="80"/>
      <c r="D193" s="80"/>
    </row>
    <row r="194" spans="1:4">
      <c r="A194" s="135" t="s">
        <v>167</v>
      </c>
      <c r="B194" s="62">
        <v>41210004</v>
      </c>
      <c r="C194" s="26">
        <v>1000</v>
      </c>
      <c r="D194" s="109">
        <f>0</f>
        <v>0</v>
      </c>
    </row>
    <row r="195" spans="1:4">
      <c r="A195" s="135" t="s">
        <v>168</v>
      </c>
      <c r="B195" s="62">
        <v>41210005</v>
      </c>
      <c r="C195" s="26">
        <v>2500</v>
      </c>
      <c r="D195" s="109">
        <f>0</f>
        <v>0</v>
      </c>
    </row>
    <row r="196" spans="1:4">
      <c r="A196" s="21" t="s">
        <v>169</v>
      </c>
      <c r="B196" s="62">
        <v>41210007</v>
      </c>
      <c r="C196" s="26">
        <v>1500</v>
      </c>
      <c r="D196" s="109">
        <v>82</v>
      </c>
    </row>
    <row r="197" spans="1:4">
      <c r="A197" s="21" t="s">
        <v>170</v>
      </c>
      <c r="B197" s="62">
        <v>41210009</v>
      </c>
      <c r="C197" s="26">
        <v>10000</v>
      </c>
      <c r="D197" s="109">
        <f>0</f>
        <v>0</v>
      </c>
    </row>
    <row r="198" spans="1:4">
      <c r="A198" s="43" t="s">
        <v>171</v>
      </c>
      <c r="B198" s="62">
        <v>41210012</v>
      </c>
      <c r="C198" s="26">
        <v>200</v>
      </c>
      <c r="D198" s="109">
        <f>10+20</f>
        <v>30</v>
      </c>
    </row>
    <row r="199" spans="1:4">
      <c r="A199" s="21" t="s">
        <v>172</v>
      </c>
      <c r="B199" s="62">
        <v>41210029</v>
      </c>
      <c r="C199" s="26">
        <v>300</v>
      </c>
      <c r="D199" s="109">
        <f>20+170</f>
        <v>190</v>
      </c>
    </row>
    <row r="200" spans="1:4">
      <c r="A200" s="21" t="s">
        <v>173</v>
      </c>
      <c r="B200" s="62">
        <v>41220002</v>
      </c>
      <c r="C200" s="26">
        <v>2000</v>
      </c>
      <c r="D200" s="109">
        <f>200+600</f>
        <v>800</v>
      </c>
    </row>
    <row r="201" spans="1:4">
      <c r="A201" s="21" t="s">
        <v>174</v>
      </c>
      <c r="B201" s="62">
        <v>41220010</v>
      </c>
      <c r="C201" s="26">
        <v>50000</v>
      </c>
      <c r="D201" s="109">
        <f>0</f>
        <v>0</v>
      </c>
    </row>
    <row r="202" spans="1:4">
      <c r="A202" s="21" t="s">
        <v>175</v>
      </c>
      <c r="B202" s="62">
        <v>41230003</v>
      </c>
      <c r="C202" s="26">
        <v>40000</v>
      </c>
      <c r="D202" s="109">
        <f>11500+2500</f>
        <v>14000</v>
      </c>
    </row>
    <row r="203" spans="1:4">
      <c r="A203" s="21" t="s">
        <v>176</v>
      </c>
      <c r="B203" s="62">
        <v>41230007</v>
      </c>
      <c r="C203" s="103">
        <v>1000</v>
      </c>
      <c r="D203" s="109">
        <v>75</v>
      </c>
    </row>
    <row r="204" spans="1:4">
      <c r="A204" s="21" t="s">
        <v>177</v>
      </c>
      <c r="B204" s="62">
        <v>41239999</v>
      </c>
      <c r="C204" s="104">
        <v>5000</v>
      </c>
      <c r="D204" s="109">
        <f>0</f>
        <v>0</v>
      </c>
    </row>
    <row r="205" spans="1:4" ht="19.5" thickBot="1">
      <c r="A205" s="29" t="s">
        <v>97</v>
      </c>
      <c r="B205" s="62"/>
      <c r="C205" s="34">
        <f>SUM(C194:C204)</f>
        <v>113500</v>
      </c>
      <c r="D205" s="34">
        <f>SUM(D194:D204)</f>
        <v>15177</v>
      </c>
    </row>
    <row r="206" spans="1:4" ht="19.5" thickTop="1">
      <c r="A206" s="7" t="s">
        <v>113</v>
      </c>
      <c r="B206" s="60">
        <v>413000000</v>
      </c>
      <c r="C206" s="80"/>
      <c r="D206" s="80"/>
    </row>
    <row r="207" spans="1:4">
      <c r="A207" s="21" t="s">
        <v>24</v>
      </c>
      <c r="B207" s="62">
        <v>41300003</v>
      </c>
      <c r="C207" s="104">
        <v>100000</v>
      </c>
      <c r="D207" s="137">
        <v>0</v>
      </c>
    </row>
    <row r="208" spans="1:4" ht="19.5" thickBot="1">
      <c r="A208" s="29" t="s">
        <v>97</v>
      </c>
      <c r="B208" s="62"/>
      <c r="C208" s="34">
        <f>SUM(C207)</f>
        <v>100000</v>
      </c>
      <c r="D208" s="34">
        <f>SUM(D207)</f>
        <v>0</v>
      </c>
    </row>
    <row r="209" spans="1:7" s="31" customFormat="1" ht="19.5" thickTop="1">
      <c r="A209" s="7" t="s">
        <v>114</v>
      </c>
      <c r="B209" s="60">
        <v>41500000</v>
      </c>
      <c r="C209" s="80"/>
      <c r="D209" s="80"/>
      <c r="E209" s="30"/>
      <c r="F209" s="247"/>
      <c r="G209" s="30"/>
    </row>
    <row r="210" spans="1:7" s="31" customFormat="1">
      <c r="A210" s="21" t="s">
        <v>41</v>
      </c>
      <c r="B210" s="62">
        <v>41500004</v>
      </c>
      <c r="C210" s="26">
        <v>10000</v>
      </c>
      <c r="D210" s="32">
        <v>2000</v>
      </c>
      <c r="E210" s="30"/>
      <c r="F210" s="247"/>
      <c r="G210" s="30"/>
    </row>
    <row r="211" spans="1:7" s="31" customFormat="1">
      <c r="A211" s="21" t="s">
        <v>138</v>
      </c>
      <c r="B211" s="62">
        <v>41599999</v>
      </c>
      <c r="C211" s="134">
        <v>500</v>
      </c>
      <c r="D211" s="71">
        <v>296</v>
      </c>
      <c r="E211" s="30"/>
      <c r="F211" s="247"/>
      <c r="G211" s="30"/>
    </row>
    <row r="212" spans="1:7" s="31" customFormat="1" ht="19.5" thickBot="1">
      <c r="A212" s="29" t="s">
        <v>97</v>
      </c>
      <c r="B212" s="62"/>
      <c r="C212" s="34">
        <f>SUM(C210:C211)</f>
        <v>10500</v>
      </c>
      <c r="D212" s="34">
        <f>SUM(D210:D211)</f>
        <v>2296</v>
      </c>
      <c r="E212" s="30"/>
      <c r="F212" s="247"/>
      <c r="G212" s="30"/>
    </row>
    <row r="213" spans="1:7" s="31" customFormat="1" ht="19.5" thickTop="1">
      <c r="A213" s="7" t="s">
        <v>115</v>
      </c>
      <c r="B213" s="62">
        <v>42000000</v>
      </c>
      <c r="C213" s="80"/>
      <c r="D213" s="80"/>
      <c r="E213" s="30"/>
      <c r="F213" s="247"/>
      <c r="G213" s="30"/>
    </row>
    <row r="214" spans="1:7" s="31" customFormat="1">
      <c r="A214" s="7" t="s">
        <v>116</v>
      </c>
      <c r="B214" s="62">
        <v>42100000</v>
      </c>
      <c r="C214" s="136"/>
      <c r="D214" s="136"/>
      <c r="E214" s="30"/>
      <c r="F214" s="247"/>
      <c r="G214" s="30"/>
    </row>
    <row r="215" spans="1:7" s="31" customFormat="1">
      <c r="A215" s="21" t="s">
        <v>139</v>
      </c>
      <c r="B215" s="62">
        <v>42100001</v>
      </c>
      <c r="C215" s="26">
        <v>1000000</v>
      </c>
      <c r="D215" s="26">
        <f>99258.32+36736.64</f>
        <v>135994.96000000002</v>
      </c>
      <c r="E215" s="30"/>
      <c r="F215" s="247"/>
      <c r="G215" s="30"/>
    </row>
    <row r="216" spans="1:7" s="31" customFormat="1">
      <c r="A216" s="21" t="s">
        <v>140</v>
      </c>
      <c r="B216" s="62">
        <v>42100002</v>
      </c>
      <c r="C216" s="26">
        <v>8000000</v>
      </c>
      <c r="D216" s="26">
        <f>1637456.38+809734.13</f>
        <v>2447190.5099999998</v>
      </c>
      <c r="E216" s="30"/>
      <c r="F216" s="247"/>
      <c r="G216" s="30"/>
    </row>
    <row r="217" spans="1:7" s="31" customFormat="1">
      <c r="A217" s="21" t="s">
        <v>141</v>
      </c>
      <c r="B217" s="62">
        <v>42100004</v>
      </c>
      <c r="C217" s="26">
        <v>2500000</v>
      </c>
      <c r="D217" s="26">
        <f>329074.09+218802.95</f>
        <v>547877.04</v>
      </c>
      <c r="E217" s="30"/>
      <c r="F217" s="247"/>
      <c r="G217" s="30"/>
    </row>
    <row r="218" spans="1:7" s="31" customFormat="1">
      <c r="A218" s="21" t="s">
        <v>142</v>
      </c>
      <c r="B218" s="62">
        <v>42100005</v>
      </c>
      <c r="C218" s="103">
        <v>100000</v>
      </c>
      <c r="D218" s="103">
        <f>21094.12+10100.82</f>
        <v>31194.94</v>
      </c>
      <c r="E218" s="30"/>
      <c r="F218" s="247"/>
      <c r="G218" s="30"/>
    </row>
    <row r="219" spans="1:7" s="31" customFormat="1">
      <c r="A219" s="21" t="s">
        <v>143</v>
      </c>
      <c r="B219" s="62">
        <v>42100006</v>
      </c>
      <c r="C219" s="26">
        <v>0</v>
      </c>
      <c r="D219" s="26">
        <v>0</v>
      </c>
      <c r="E219" s="30"/>
      <c r="F219" s="247"/>
      <c r="G219" s="30"/>
    </row>
    <row r="220" spans="1:7" s="31" customFormat="1">
      <c r="A220" s="21" t="s">
        <v>144</v>
      </c>
      <c r="B220" s="62">
        <v>42100007</v>
      </c>
      <c r="C220" s="26">
        <v>3410000</v>
      </c>
      <c r="D220" s="26">
        <f>742770.21+416564.3</f>
        <v>1159334.51</v>
      </c>
      <c r="E220" s="30"/>
      <c r="F220" s="247"/>
      <c r="G220" s="30"/>
    </row>
    <row r="221" spans="1:7" s="31" customFormat="1">
      <c r="A221" s="21" t="s">
        <v>145</v>
      </c>
      <c r="B221" s="62">
        <v>42100012</v>
      </c>
      <c r="C221" s="26">
        <v>80000</v>
      </c>
      <c r="D221" s="26">
        <v>18106.79</v>
      </c>
      <c r="E221" s="30"/>
      <c r="F221" s="247"/>
      <c r="G221" s="30"/>
    </row>
    <row r="222" spans="1:7" s="31" customFormat="1">
      <c r="A222" s="21" t="s">
        <v>146</v>
      </c>
      <c r="B222" s="62">
        <v>42100013</v>
      </c>
      <c r="C222" s="26">
        <v>50000</v>
      </c>
      <c r="D222" s="26">
        <v>11585.92</v>
      </c>
      <c r="E222" s="30"/>
      <c r="F222" s="247"/>
      <c r="G222" s="30"/>
    </row>
    <row r="223" spans="1:7" s="31" customFormat="1">
      <c r="A223" s="21" t="s">
        <v>147</v>
      </c>
      <c r="B223" s="62">
        <v>42100015</v>
      </c>
      <c r="C223" s="134">
        <v>450000</v>
      </c>
      <c r="D223" s="26">
        <f>87504+19696</f>
        <v>107200</v>
      </c>
      <c r="E223" s="30"/>
      <c r="F223" s="247"/>
      <c r="G223" s="30"/>
    </row>
    <row r="224" spans="1:7" s="31" customFormat="1">
      <c r="A224" s="65" t="s">
        <v>97</v>
      </c>
      <c r="B224" s="64"/>
      <c r="C224" s="61">
        <f>SUM(C215:C223)</f>
        <v>15590000</v>
      </c>
      <c r="D224" s="66">
        <f>SUM(D215:D223)</f>
        <v>4458484.67</v>
      </c>
      <c r="E224" s="30"/>
      <c r="F224" s="247"/>
      <c r="G224" s="30"/>
    </row>
    <row r="225" spans="1:7" s="31" customFormat="1">
      <c r="A225" s="213"/>
      <c r="B225" s="146"/>
      <c r="C225" s="85"/>
      <c r="D225" s="85"/>
      <c r="E225" s="30"/>
      <c r="F225" s="247"/>
      <c r="G225" s="30"/>
    </row>
    <row r="226" spans="1:7" s="31" customFormat="1" ht="21">
      <c r="A226" s="53" t="s">
        <v>4</v>
      </c>
      <c r="B226" s="54" t="s">
        <v>16</v>
      </c>
      <c r="C226" s="55" t="s">
        <v>1</v>
      </c>
      <c r="D226" s="139" t="s">
        <v>2</v>
      </c>
      <c r="E226" s="30"/>
      <c r="F226" s="247"/>
      <c r="G226" s="30"/>
    </row>
    <row r="227" spans="1:7" s="31" customFormat="1">
      <c r="A227" s="56"/>
      <c r="B227" s="57" t="s">
        <v>17</v>
      </c>
      <c r="C227" s="58"/>
      <c r="D227" s="140"/>
      <c r="E227" s="30"/>
      <c r="F227" s="247"/>
      <c r="G227" s="30"/>
    </row>
    <row r="228" spans="1:7" s="31" customFormat="1">
      <c r="A228" s="7" t="s">
        <v>117</v>
      </c>
      <c r="B228" s="29">
        <v>43000000</v>
      </c>
      <c r="C228" s="80"/>
      <c r="D228" s="138"/>
      <c r="E228" s="30"/>
      <c r="F228" s="247"/>
      <c r="G228" s="30"/>
    </row>
    <row r="229" spans="1:7" s="31" customFormat="1">
      <c r="A229" s="7" t="s">
        <v>118</v>
      </c>
      <c r="B229" s="29">
        <v>43100000</v>
      </c>
      <c r="C229" s="136"/>
      <c r="D229" s="136"/>
      <c r="E229" s="30"/>
      <c r="F229" s="247"/>
      <c r="G229" s="30"/>
    </row>
    <row r="230" spans="1:7" s="31" customFormat="1">
      <c r="A230" s="21" t="s">
        <v>119</v>
      </c>
      <c r="B230" s="67">
        <v>43100001</v>
      </c>
      <c r="C230" s="26"/>
      <c r="D230" s="32"/>
      <c r="E230" s="30"/>
      <c r="F230" s="247"/>
      <c r="G230" s="30"/>
    </row>
    <row r="231" spans="1:7" s="31" customFormat="1">
      <c r="A231" s="21" t="s">
        <v>120</v>
      </c>
      <c r="B231" s="67">
        <v>43100002</v>
      </c>
      <c r="C231" s="104">
        <v>20000000</v>
      </c>
      <c r="D231" s="137">
        <v>5566536</v>
      </c>
      <c r="E231" s="30"/>
      <c r="F231" s="247"/>
      <c r="G231" s="30"/>
    </row>
    <row r="232" spans="1:7" s="31" customFormat="1">
      <c r="A232" s="21" t="s">
        <v>121</v>
      </c>
      <c r="B232" s="67"/>
      <c r="C232" s="61"/>
      <c r="D232" s="61"/>
      <c r="E232" s="30"/>
      <c r="F232" s="247"/>
      <c r="G232" s="30"/>
    </row>
    <row r="233" spans="1:7" s="31" customFormat="1" ht="19.5" thickBot="1">
      <c r="A233" s="29" t="s">
        <v>97</v>
      </c>
      <c r="B233" s="62"/>
      <c r="C233" s="34">
        <f>SUM(C231:C232)</f>
        <v>20000000</v>
      </c>
      <c r="D233" s="34">
        <f>SUM(D231:D232)</f>
        <v>5566536</v>
      </c>
      <c r="E233" s="30"/>
      <c r="F233" s="247"/>
      <c r="G233" s="30"/>
    </row>
    <row r="234" spans="1:7" s="31" customFormat="1" ht="19.5" thickTop="1">
      <c r="A234" s="7" t="s">
        <v>122</v>
      </c>
      <c r="B234" s="29">
        <v>44000000</v>
      </c>
      <c r="C234" s="80"/>
      <c r="D234" s="138"/>
      <c r="E234" s="30"/>
      <c r="F234" s="247"/>
      <c r="G234" s="30"/>
    </row>
    <row r="235" spans="1:7" s="31" customFormat="1">
      <c r="A235" s="7" t="s">
        <v>123</v>
      </c>
      <c r="B235" s="29">
        <v>44100000</v>
      </c>
      <c r="C235" s="136"/>
      <c r="D235" s="136"/>
      <c r="E235" s="30"/>
      <c r="F235" s="247"/>
      <c r="G235" s="30"/>
    </row>
    <row r="236" spans="1:7" s="31" customFormat="1">
      <c r="A236" s="21" t="s">
        <v>125</v>
      </c>
      <c r="B236" s="67">
        <v>44100001</v>
      </c>
      <c r="C236" s="103">
        <v>0</v>
      </c>
      <c r="D236" s="32">
        <v>0</v>
      </c>
      <c r="E236" s="30"/>
      <c r="F236" s="247"/>
      <c r="G236" s="30"/>
    </row>
    <row r="237" spans="1:7" s="31" customFormat="1">
      <c r="A237" s="21" t="s">
        <v>124</v>
      </c>
      <c r="B237" s="67"/>
      <c r="C237" s="103"/>
      <c r="D237" s="24"/>
      <c r="E237" s="30"/>
      <c r="F237" s="247"/>
      <c r="G237" s="30"/>
    </row>
    <row r="238" spans="1:7" s="31" customFormat="1">
      <c r="A238" s="21" t="s">
        <v>126</v>
      </c>
      <c r="B238" s="25">
        <v>44100002</v>
      </c>
      <c r="C238" s="103">
        <v>0</v>
      </c>
      <c r="D238" s="24">
        <v>0</v>
      </c>
      <c r="E238" s="30"/>
      <c r="F238" s="247"/>
      <c r="G238" s="30"/>
    </row>
    <row r="239" spans="1:7" s="31" customFormat="1">
      <c r="A239" s="29" t="s">
        <v>97</v>
      </c>
      <c r="B239" s="67"/>
      <c r="C239" s="61">
        <f>SUM(C236:C238)</f>
        <v>0</v>
      </c>
      <c r="D239" s="61">
        <f>SUM(D236:D238)</f>
        <v>0</v>
      </c>
      <c r="E239" s="30"/>
      <c r="F239" s="247"/>
      <c r="G239" s="30"/>
    </row>
    <row r="240" spans="1:7" s="31" customFormat="1" ht="19.5" thickBot="1">
      <c r="A240" s="65" t="s">
        <v>97</v>
      </c>
      <c r="B240" s="64"/>
      <c r="C240" s="34">
        <f>SUM(C192+C205+C208+C212+C224+C233+C239)</f>
        <v>36000000</v>
      </c>
      <c r="D240" s="34">
        <f>SUM(D192+D205+D208+D212+D224+D233+D239)</f>
        <v>10042990.93</v>
      </c>
      <c r="E240" s="30"/>
      <c r="F240" s="247"/>
      <c r="G240" s="30"/>
    </row>
    <row r="241" spans="1:7" s="31" customFormat="1" ht="19.5" thickTop="1">
      <c r="A241" s="250"/>
      <c r="B241" s="185"/>
      <c r="C241" s="74"/>
      <c r="D241" s="74"/>
      <c r="E241" s="30"/>
      <c r="F241" s="247"/>
      <c r="G241" s="30"/>
    </row>
    <row r="242" spans="1:7" s="31" customFormat="1">
      <c r="A242" s="250"/>
      <c r="B242" s="185"/>
      <c r="C242" s="74"/>
      <c r="D242" s="74"/>
      <c r="E242" s="30"/>
      <c r="F242" s="247"/>
      <c r="G242" s="30"/>
    </row>
    <row r="243" spans="1:7" s="31" customFormat="1">
      <c r="B243" s="185"/>
      <c r="C243" s="30"/>
      <c r="D243" s="30"/>
      <c r="E243" s="30"/>
      <c r="F243" s="247"/>
      <c r="G243" s="30"/>
    </row>
    <row r="244" spans="1:7" s="31" customFormat="1">
      <c r="B244" s="185"/>
      <c r="C244" s="30"/>
      <c r="D244" s="30"/>
      <c r="E244" s="30"/>
      <c r="F244" s="247"/>
      <c r="G244" s="30"/>
    </row>
    <row r="245" spans="1:7" s="31" customFormat="1">
      <c r="B245" s="185"/>
      <c r="C245" s="30"/>
      <c r="D245" s="30"/>
      <c r="E245" s="30"/>
      <c r="F245" s="247"/>
      <c r="G245" s="30"/>
    </row>
    <row r="246" spans="1:7" s="31" customFormat="1">
      <c r="B246" s="185"/>
      <c r="C246" s="30"/>
      <c r="D246" s="30"/>
      <c r="E246" s="30"/>
      <c r="F246" s="247"/>
      <c r="G246" s="30"/>
    </row>
    <row r="247" spans="1:7" s="31" customFormat="1">
      <c r="B247" s="185"/>
      <c r="C247" s="30"/>
      <c r="D247" s="30"/>
      <c r="E247" s="30"/>
      <c r="F247" s="247"/>
      <c r="G247" s="30"/>
    </row>
    <row r="248" spans="1:7" s="31" customFormat="1">
      <c r="B248" s="185"/>
      <c r="C248" s="30"/>
      <c r="D248" s="30"/>
      <c r="E248" s="30"/>
      <c r="F248" s="247"/>
      <c r="G248" s="30"/>
    </row>
    <row r="249" spans="1:7" s="31" customFormat="1">
      <c r="B249" s="185"/>
      <c r="C249" s="30"/>
      <c r="D249" s="30"/>
      <c r="E249" s="30"/>
      <c r="F249" s="247"/>
      <c r="G249" s="30"/>
    </row>
    <row r="250" spans="1:7" s="31" customFormat="1">
      <c r="B250" s="185"/>
      <c r="C250" s="30"/>
      <c r="D250" s="30"/>
      <c r="E250" s="30"/>
      <c r="F250" s="247"/>
      <c r="G250" s="30"/>
    </row>
    <row r="251" spans="1:7" s="31" customFormat="1">
      <c r="B251" s="185"/>
      <c r="C251" s="30"/>
      <c r="D251" s="30"/>
      <c r="E251" s="30"/>
      <c r="F251" s="247"/>
      <c r="G251" s="30"/>
    </row>
    <row r="252" spans="1:7" s="31" customFormat="1">
      <c r="A252" s="265"/>
      <c r="B252" s="185"/>
      <c r="C252" s="74"/>
      <c r="D252" s="78"/>
      <c r="E252" s="30"/>
      <c r="F252" s="247"/>
      <c r="G252" s="30"/>
    </row>
    <row r="253" spans="1:7" s="31" customFormat="1">
      <c r="B253" s="185"/>
      <c r="C253" s="30"/>
      <c r="D253" s="30"/>
      <c r="E253" s="30"/>
      <c r="F253" s="247"/>
      <c r="G253" s="30"/>
    </row>
    <row r="254" spans="1:7" s="31" customFormat="1" ht="21">
      <c r="A254" s="266"/>
      <c r="B254" s="77"/>
      <c r="C254" s="248"/>
      <c r="D254" s="249"/>
      <c r="E254" s="30"/>
      <c r="F254" s="247"/>
      <c r="G254" s="30"/>
    </row>
    <row r="255" spans="1:7" s="31" customFormat="1">
      <c r="A255" s="77"/>
      <c r="B255" s="77"/>
      <c r="C255" s="248"/>
      <c r="D255" s="248"/>
      <c r="E255" s="30"/>
      <c r="F255" s="247"/>
      <c r="G255" s="30"/>
    </row>
    <row r="256" spans="1:7" s="31" customFormat="1">
      <c r="A256" s="250"/>
      <c r="B256" s="265"/>
      <c r="C256" s="74"/>
      <c r="D256" s="78"/>
      <c r="E256" s="30"/>
      <c r="F256" s="247"/>
      <c r="G256" s="30"/>
    </row>
    <row r="257" spans="1:7" s="31" customFormat="1">
      <c r="A257" s="250"/>
      <c r="B257" s="265"/>
      <c r="C257" s="74"/>
      <c r="D257" s="74"/>
      <c r="E257" s="30"/>
      <c r="F257" s="247"/>
      <c r="G257" s="30"/>
    </row>
    <row r="258" spans="1:7" s="31" customFormat="1">
      <c r="B258" s="77"/>
      <c r="C258" s="30"/>
      <c r="D258" s="42"/>
      <c r="E258" s="30"/>
      <c r="F258" s="247"/>
      <c r="G258" s="30"/>
    </row>
    <row r="259" spans="1:7" s="31" customFormat="1">
      <c r="B259" s="77"/>
      <c r="C259" s="30"/>
      <c r="D259" s="42"/>
      <c r="E259" s="30"/>
      <c r="F259" s="247"/>
      <c r="G259" s="30"/>
    </row>
    <row r="260" spans="1:7" s="31" customFormat="1">
      <c r="B260" s="77"/>
      <c r="C260" s="74"/>
      <c r="D260" s="74"/>
      <c r="E260" s="30"/>
      <c r="F260" s="247"/>
      <c r="G260" s="30"/>
    </row>
    <row r="261" spans="1:7" s="31" customFormat="1">
      <c r="A261" s="265"/>
      <c r="B261" s="185"/>
      <c r="C261" s="74"/>
      <c r="D261" s="74"/>
      <c r="E261" s="30"/>
      <c r="F261" s="247"/>
      <c r="G261" s="30"/>
    </row>
    <row r="262" spans="1:7" s="31" customFormat="1">
      <c r="A262" s="250"/>
      <c r="B262" s="265"/>
      <c r="C262" s="74"/>
      <c r="D262" s="78"/>
      <c r="E262" s="30"/>
      <c r="F262" s="247"/>
      <c r="G262" s="30"/>
    </row>
    <row r="263" spans="1:7" s="31" customFormat="1">
      <c r="A263" s="250"/>
      <c r="B263" s="265"/>
      <c r="C263" s="74"/>
      <c r="D263" s="74"/>
      <c r="E263" s="30"/>
      <c r="F263" s="247"/>
      <c r="G263" s="30"/>
    </row>
    <row r="264" spans="1:7" s="31" customFormat="1">
      <c r="B264" s="77"/>
      <c r="C264" s="30"/>
      <c r="D264" s="42"/>
      <c r="E264" s="30"/>
      <c r="F264" s="247"/>
      <c r="G264" s="30"/>
    </row>
    <row r="265" spans="1:7" s="31" customFormat="1">
      <c r="B265" s="77"/>
      <c r="C265" s="30"/>
      <c r="D265" s="42"/>
      <c r="E265" s="30"/>
      <c r="F265" s="247"/>
      <c r="G265" s="30"/>
    </row>
    <row r="266" spans="1:7" s="31" customFormat="1">
      <c r="B266" s="77"/>
      <c r="C266" s="30"/>
      <c r="D266" s="42"/>
      <c r="E266" s="30"/>
      <c r="F266" s="247"/>
      <c r="G266" s="30"/>
    </row>
    <row r="267" spans="1:7" s="31" customFormat="1">
      <c r="A267" s="265"/>
      <c r="B267" s="77"/>
      <c r="C267" s="74"/>
      <c r="D267" s="74"/>
      <c r="E267" s="30"/>
      <c r="F267" s="247"/>
      <c r="G267" s="30"/>
    </row>
    <row r="268" spans="1:7" s="31" customFormat="1">
      <c r="A268" s="265"/>
      <c r="B268" s="185"/>
      <c r="C268" s="74"/>
      <c r="D268" s="74"/>
      <c r="E268" s="30"/>
      <c r="F268" s="247"/>
      <c r="G268" s="30"/>
    </row>
    <row r="269" spans="1:7" s="31" customFormat="1">
      <c r="B269" s="77"/>
      <c r="C269" s="30"/>
      <c r="D269" s="42"/>
      <c r="E269" s="30"/>
      <c r="F269" s="247"/>
      <c r="G269" s="30"/>
    </row>
    <row r="270" spans="1:7" s="31" customFormat="1">
      <c r="B270" s="77"/>
      <c r="C270" s="30"/>
      <c r="D270" s="42"/>
      <c r="E270" s="30"/>
      <c r="F270" s="247"/>
      <c r="G270" s="30"/>
    </row>
    <row r="271" spans="1:7" ht="21">
      <c r="A271" s="308" t="s">
        <v>106</v>
      </c>
      <c r="B271" s="308"/>
      <c r="C271" s="308"/>
      <c r="D271" s="308"/>
    </row>
    <row r="272" spans="1:7" ht="21">
      <c r="A272" s="308" t="s">
        <v>105</v>
      </c>
      <c r="B272" s="308"/>
      <c r="C272" s="308"/>
      <c r="D272" s="308"/>
    </row>
    <row r="273" spans="1:4" ht="21">
      <c r="A273" s="306" t="s">
        <v>302</v>
      </c>
      <c r="B273" s="306"/>
      <c r="C273" s="306"/>
      <c r="D273" s="306"/>
    </row>
    <row r="274" spans="1:4" ht="21">
      <c r="A274" s="53" t="s">
        <v>4</v>
      </c>
      <c r="B274" s="54" t="s">
        <v>16</v>
      </c>
      <c r="C274" s="55" t="s">
        <v>1</v>
      </c>
      <c r="D274" s="139" t="s">
        <v>2</v>
      </c>
    </row>
    <row r="275" spans="1:4">
      <c r="A275" s="56"/>
      <c r="B275" s="57" t="s">
        <v>17</v>
      </c>
      <c r="C275" s="58"/>
      <c r="D275" s="140"/>
    </row>
    <row r="276" spans="1:4">
      <c r="A276" s="59" t="s">
        <v>108</v>
      </c>
      <c r="B276" s="54">
        <v>41000000</v>
      </c>
      <c r="C276" s="68"/>
      <c r="D276" s="69"/>
    </row>
    <row r="277" spans="1:4">
      <c r="A277" s="7" t="s">
        <v>107</v>
      </c>
      <c r="B277" s="60">
        <v>41100000</v>
      </c>
      <c r="C277" s="136"/>
      <c r="D277" s="136"/>
    </row>
    <row r="278" spans="1:4">
      <c r="A278" s="135" t="s">
        <v>110</v>
      </c>
      <c r="B278" s="62">
        <v>41100001</v>
      </c>
      <c r="C278" s="26">
        <v>80000</v>
      </c>
      <c r="D278" s="32">
        <f>2552</f>
        <v>2552</v>
      </c>
    </row>
    <row r="279" spans="1:4">
      <c r="A279" s="135" t="s">
        <v>111</v>
      </c>
      <c r="B279" s="62">
        <v>41100002</v>
      </c>
      <c r="C279" s="26">
        <v>100000</v>
      </c>
      <c r="D279" s="32">
        <f>497.26+297.04</f>
        <v>794.3</v>
      </c>
    </row>
    <row r="280" spans="1:4">
      <c r="A280" s="135" t="s">
        <v>112</v>
      </c>
      <c r="B280" s="62">
        <v>41100003</v>
      </c>
      <c r="C280" s="103">
        <v>6000</v>
      </c>
      <c r="D280" s="32">
        <f>1600</f>
        <v>1600</v>
      </c>
    </row>
    <row r="281" spans="1:4">
      <c r="A281" s="135" t="s">
        <v>208</v>
      </c>
      <c r="B281" s="62">
        <v>41100004</v>
      </c>
      <c r="C281" s="104">
        <v>0</v>
      </c>
      <c r="D281" s="32">
        <v>0</v>
      </c>
    </row>
    <row r="282" spans="1:4" ht="19.5" thickBot="1">
      <c r="A282" s="29" t="s">
        <v>97</v>
      </c>
      <c r="B282" s="62"/>
      <c r="C282" s="34">
        <f>SUM(C278:C281)</f>
        <v>186000</v>
      </c>
      <c r="D282" s="34">
        <f>SUM(D278:D281)</f>
        <v>4946.3</v>
      </c>
    </row>
    <row r="283" spans="1:4" ht="19.5" thickTop="1">
      <c r="A283" s="7" t="s">
        <v>109</v>
      </c>
      <c r="B283" s="60">
        <v>41200000</v>
      </c>
      <c r="C283" s="80"/>
      <c r="D283" s="80"/>
    </row>
    <row r="284" spans="1:4">
      <c r="A284" s="135" t="s">
        <v>167</v>
      </c>
      <c r="B284" s="62">
        <v>41210004</v>
      </c>
      <c r="C284" s="26">
        <v>1000</v>
      </c>
      <c r="D284" s="109">
        <f>0</f>
        <v>0</v>
      </c>
    </row>
    <row r="285" spans="1:4">
      <c r="A285" s="135" t="s">
        <v>168</v>
      </c>
      <c r="B285" s="62">
        <v>41210005</v>
      </c>
      <c r="C285" s="26">
        <v>2500</v>
      </c>
      <c r="D285" s="109">
        <f>0</f>
        <v>0</v>
      </c>
    </row>
    <row r="286" spans="1:4">
      <c r="A286" s="21" t="s">
        <v>169</v>
      </c>
      <c r="B286" s="62">
        <v>41210007</v>
      </c>
      <c r="C286" s="26">
        <v>1500</v>
      </c>
      <c r="D286" s="109">
        <f>82+151</f>
        <v>233</v>
      </c>
    </row>
    <row r="287" spans="1:4">
      <c r="A287" s="21" t="s">
        <v>170</v>
      </c>
      <c r="B287" s="62">
        <v>41210009</v>
      </c>
      <c r="C287" s="26">
        <v>10000</v>
      </c>
      <c r="D287" s="109">
        <f>0</f>
        <v>0</v>
      </c>
    </row>
    <row r="288" spans="1:4">
      <c r="A288" s="43" t="s">
        <v>171</v>
      </c>
      <c r="B288" s="62">
        <v>41210012</v>
      </c>
      <c r="C288" s="26">
        <v>200</v>
      </c>
      <c r="D288" s="109">
        <f>10+20+30</f>
        <v>60</v>
      </c>
    </row>
    <row r="289" spans="1:7">
      <c r="A289" s="21" t="s">
        <v>172</v>
      </c>
      <c r="B289" s="62">
        <v>41210029</v>
      </c>
      <c r="C289" s="26">
        <v>300</v>
      </c>
      <c r="D289" s="109">
        <f>20+170+140</f>
        <v>330</v>
      </c>
    </row>
    <row r="290" spans="1:7">
      <c r="A290" s="21" t="s">
        <v>173</v>
      </c>
      <c r="B290" s="62">
        <v>41220002</v>
      </c>
      <c r="C290" s="26">
        <v>2000</v>
      </c>
      <c r="D290" s="109">
        <f>200+600</f>
        <v>800</v>
      </c>
    </row>
    <row r="291" spans="1:7">
      <c r="A291" s="21" t="s">
        <v>174</v>
      </c>
      <c r="B291" s="62">
        <v>41220010</v>
      </c>
      <c r="C291" s="26">
        <v>50000</v>
      </c>
      <c r="D291" s="109">
        <f>0</f>
        <v>0</v>
      </c>
    </row>
    <row r="292" spans="1:7">
      <c r="A292" s="21" t="s">
        <v>175</v>
      </c>
      <c r="B292" s="62">
        <v>41230003</v>
      </c>
      <c r="C292" s="26">
        <v>40000</v>
      </c>
      <c r="D292" s="109">
        <f>11500+2500+1100</f>
        <v>15100</v>
      </c>
    </row>
    <row r="293" spans="1:7">
      <c r="A293" s="21" t="s">
        <v>176</v>
      </c>
      <c r="B293" s="62">
        <v>41230007</v>
      </c>
      <c r="C293" s="103">
        <v>1000</v>
      </c>
      <c r="D293" s="109">
        <f>75+75</f>
        <v>150</v>
      </c>
    </row>
    <row r="294" spans="1:7">
      <c r="A294" s="21" t="s">
        <v>177</v>
      </c>
      <c r="B294" s="62">
        <v>41239999</v>
      </c>
      <c r="C294" s="104">
        <v>5000</v>
      </c>
      <c r="D294" s="109">
        <f>480</f>
        <v>480</v>
      </c>
    </row>
    <row r="295" spans="1:7" ht="19.5" thickBot="1">
      <c r="A295" s="29" t="s">
        <v>97</v>
      </c>
      <c r="B295" s="62"/>
      <c r="C295" s="34">
        <f>SUM(C284:C294)</f>
        <v>113500</v>
      </c>
      <c r="D295" s="34">
        <f>SUM(D284:D294)</f>
        <v>17153</v>
      </c>
    </row>
    <row r="296" spans="1:7" ht="19.5" thickTop="1">
      <c r="A296" s="7" t="s">
        <v>113</v>
      </c>
      <c r="B296" s="60">
        <v>413000000</v>
      </c>
      <c r="C296" s="80"/>
      <c r="D296" s="80"/>
    </row>
    <row r="297" spans="1:7">
      <c r="A297" s="21" t="s">
        <v>24</v>
      </c>
      <c r="B297" s="62">
        <v>41300003</v>
      </c>
      <c r="C297" s="104">
        <v>100000</v>
      </c>
      <c r="D297" s="137">
        <f>53111.51</f>
        <v>53111.51</v>
      </c>
    </row>
    <row r="298" spans="1:7" ht="19.5" thickBot="1">
      <c r="A298" s="29" t="s">
        <v>97</v>
      </c>
      <c r="B298" s="62"/>
      <c r="C298" s="34">
        <f>SUM(C297)</f>
        <v>100000</v>
      </c>
      <c r="D298" s="34">
        <f>SUM(D297)</f>
        <v>53111.51</v>
      </c>
    </row>
    <row r="299" spans="1:7" s="31" customFormat="1" ht="19.5" thickTop="1">
      <c r="A299" s="7" t="s">
        <v>114</v>
      </c>
      <c r="B299" s="60">
        <v>41500000</v>
      </c>
      <c r="C299" s="80"/>
      <c r="D299" s="80"/>
      <c r="E299" s="30"/>
      <c r="F299" s="247"/>
      <c r="G299" s="30"/>
    </row>
    <row r="300" spans="1:7" s="31" customFormat="1">
      <c r="A300" s="21" t="s">
        <v>41</v>
      </c>
      <c r="B300" s="62">
        <v>41500004</v>
      </c>
      <c r="C300" s="26">
        <v>10000</v>
      </c>
      <c r="D300" s="32">
        <v>2000</v>
      </c>
      <c r="E300" s="30"/>
      <c r="F300" s="247"/>
      <c r="G300" s="30"/>
    </row>
    <row r="301" spans="1:7" s="31" customFormat="1">
      <c r="A301" s="21" t="s">
        <v>138</v>
      </c>
      <c r="B301" s="62">
        <v>41599999</v>
      </c>
      <c r="C301" s="134">
        <v>500</v>
      </c>
      <c r="D301" s="71">
        <f>296+28</f>
        <v>324</v>
      </c>
      <c r="E301" s="30"/>
      <c r="F301" s="247"/>
      <c r="G301" s="30"/>
    </row>
    <row r="302" spans="1:7" s="31" customFormat="1" ht="19.5" thickBot="1">
      <c r="A302" s="29" t="s">
        <v>97</v>
      </c>
      <c r="B302" s="62"/>
      <c r="C302" s="34">
        <f>SUM(C300:C301)</f>
        <v>10500</v>
      </c>
      <c r="D302" s="34">
        <f>SUM(D300:D301)</f>
        <v>2324</v>
      </c>
      <c r="E302" s="30"/>
      <c r="F302" s="247"/>
      <c r="G302" s="30"/>
    </row>
    <row r="303" spans="1:7" s="31" customFormat="1" ht="19.5" thickTop="1">
      <c r="A303" s="7" t="s">
        <v>115</v>
      </c>
      <c r="B303" s="62">
        <v>42000000</v>
      </c>
      <c r="C303" s="80"/>
      <c r="D303" s="80"/>
      <c r="E303" s="30"/>
      <c r="F303" s="247"/>
      <c r="G303" s="30"/>
    </row>
    <row r="304" spans="1:7" s="31" customFormat="1">
      <c r="A304" s="7" t="s">
        <v>116</v>
      </c>
      <c r="B304" s="62">
        <v>42100000</v>
      </c>
      <c r="C304" s="136"/>
      <c r="D304" s="136"/>
      <c r="E304" s="30"/>
      <c r="F304" s="247"/>
      <c r="G304" s="30"/>
    </row>
    <row r="305" spans="1:7" s="31" customFormat="1">
      <c r="A305" s="21" t="s">
        <v>139</v>
      </c>
      <c r="B305" s="62">
        <v>42100001</v>
      </c>
      <c r="C305" s="26">
        <v>1000000</v>
      </c>
      <c r="D305" s="26">
        <f>99258.32+36736.64+36835.18</f>
        <v>172830.14</v>
      </c>
      <c r="E305" s="30"/>
      <c r="F305" s="247"/>
      <c r="G305" s="30"/>
    </row>
    <row r="306" spans="1:7" s="31" customFormat="1">
      <c r="A306" s="21" t="s">
        <v>140</v>
      </c>
      <c r="B306" s="62">
        <v>42100002</v>
      </c>
      <c r="C306" s="26">
        <v>8000000</v>
      </c>
      <c r="D306" s="26">
        <f>1637456.38+809734.13+579396.58</f>
        <v>3026587.09</v>
      </c>
      <c r="E306" s="30"/>
      <c r="F306" s="247"/>
      <c r="G306" s="30"/>
    </row>
    <row r="307" spans="1:7" s="31" customFormat="1">
      <c r="A307" s="21" t="s">
        <v>141</v>
      </c>
      <c r="B307" s="62">
        <v>42100004</v>
      </c>
      <c r="C307" s="26">
        <v>2500000</v>
      </c>
      <c r="D307" s="26">
        <f>329074.09+218802.95+192322.52</f>
        <v>740199.56</v>
      </c>
      <c r="E307" s="30"/>
      <c r="F307" s="247"/>
      <c r="G307" s="30"/>
    </row>
    <row r="308" spans="1:7" s="31" customFormat="1">
      <c r="A308" s="21" t="s">
        <v>142</v>
      </c>
      <c r="B308" s="62">
        <v>42100005</v>
      </c>
      <c r="C308" s="103">
        <v>100000</v>
      </c>
      <c r="D308" s="103">
        <f>21094.12+10100.82</f>
        <v>31194.94</v>
      </c>
      <c r="E308" s="30"/>
      <c r="F308" s="247"/>
      <c r="G308" s="30"/>
    </row>
    <row r="309" spans="1:7" s="31" customFormat="1">
      <c r="A309" s="21" t="s">
        <v>143</v>
      </c>
      <c r="B309" s="62">
        <v>42100006</v>
      </c>
      <c r="C309" s="26">
        <v>0</v>
      </c>
      <c r="D309" s="26">
        <v>0</v>
      </c>
      <c r="E309" s="30"/>
      <c r="F309" s="247"/>
      <c r="G309" s="30"/>
    </row>
    <row r="310" spans="1:7" s="31" customFormat="1">
      <c r="A310" s="21" t="s">
        <v>144</v>
      </c>
      <c r="B310" s="62">
        <v>42100007</v>
      </c>
      <c r="C310" s="26">
        <v>3410000</v>
      </c>
      <c r="D310" s="26">
        <f>742770.21+416564.3+384550.04</f>
        <v>1543884.55</v>
      </c>
      <c r="E310" s="30"/>
      <c r="F310" s="247"/>
      <c r="G310" s="30"/>
    </row>
    <row r="311" spans="1:7" s="31" customFormat="1">
      <c r="A311" s="21" t="s">
        <v>145</v>
      </c>
      <c r="B311" s="62">
        <v>42100012</v>
      </c>
      <c r="C311" s="26">
        <v>80000</v>
      </c>
      <c r="D311" s="26">
        <v>18106.79</v>
      </c>
      <c r="E311" s="30"/>
      <c r="F311" s="247"/>
      <c r="G311" s="30"/>
    </row>
    <row r="312" spans="1:7" s="31" customFormat="1">
      <c r="A312" s="21" t="s">
        <v>146</v>
      </c>
      <c r="B312" s="62">
        <v>42100013</v>
      </c>
      <c r="C312" s="26">
        <v>50000</v>
      </c>
      <c r="D312" s="26">
        <v>11585.92</v>
      </c>
      <c r="E312" s="30"/>
      <c r="F312" s="247"/>
      <c r="G312" s="30"/>
    </row>
    <row r="313" spans="1:7" s="31" customFormat="1">
      <c r="A313" s="21" t="s">
        <v>147</v>
      </c>
      <c r="B313" s="62">
        <v>42100015</v>
      </c>
      <c r="C313" s="134">
        <v>450000</v>
      </c>
      <c r="D313" s="26">
        <f>87504+19696+11232</f>
        <v>118432</v>
      </c>
      <c r="E313" s="30"/>
      <c r="F313" s="247"/>
      <c r="G313" s="30"/>
    </row>
    <row r="314" spans="1:7" s="31" customFormat="1">
      <c r="A314" s="65" t="s">
        <v>97</v>
      </c>
      <c r="B314" s="64"/>
      <c r="C314" s="61">
        <f>SUM(C305:C313)</f>
        <v>15590000</v>
      </c>
      <c r="D314" s="66">
        <f>SUM(D305:D313)</f>
        <v>5662820.9900000002</v>
      </c>
      <c r="E314" s="30"/>
      <c r="F314" s="247"/>
      <c r="G314" s="30"/>
    </row>
    <row r="315" spans="1:7" s="31" customFormat="1">
      <c r="A315" s="213"/>
      <c r="B315" s="146"/>
      <c r="C315" s="85"/>
      <c r="D315" s="85"/>
      <c r="E315" s="30"/>
      <c r="F315" s="247"/>
      <c r="G315" s="30"/>
    </row>
    <row r="316" spans="1:7" s="31" customFormat="1" ht="21">
      <c r="A316" s="53" t="s">
        <v>4</v>
      </c>
      <c r="B316" s="54" t="s">
        <v>16</v>
      </c>
      <c r="C316" s="55" t="s">
        <v>1</v>
      </c>
      <c r="D316" s="139" t="s">
        <v>2</v>
      </c>
      <c r="E316" s="30"/>
      <c r="F316" s="247"/>
      <c r="G316" s="30"/>
    </row>
    <row r="317" spans="1:7" s="31" customFormat="1">
      <c r="A317" s="56"/>
      <c r="B317" s="57" t="s">
        <v>17</v>
      </c>
      <c r="C317" s="58"/>
      <c r="D317" s="140"/>
      <c r="E317" s="30"/>
      <c r="F317" s="247"/>
      <c r="G317" s="30"/>
    </row>
    <row r="318" spans="1:7" s="31" customFormat="1">
      <c r="A318" s="7" t="s">
        <v>117</v>
      </c>
      <c r="B318" s="29">
        <v>43000000</v>
      </c>
      <c r="C318" s="80"/>
      <c r="D318" s="138"/>
      <c r="E318" s="30"/>
      <c r="F318" s="247"/>
      <c r="G318" s="30"/>
    </row>
    <row r="319" spans="1:7" s="31" customFormat="1">
      <c r="A319" s="7" t="s">
        <v>118</v>
      </c>
      <c r="B319" s="29">
        <v>43100000</v>
      </c>
      <c r="C319" s="136"/>
      <c r="D319" s="136"/>
      <c r="E319" s="30"/>
      <c r="F319" s="247"/>
      <c r="G319" s="30"/>
    </row>
    <row r="320" spans="1:7" s="31" customFormat="1">
      <c r="A320" s="21" t="s">
        <v>119</v>
      </c>
      <c r="B320" s="67">
        <v>43100001</v>
      </c>
      <c r="C320" s="26"/>
      <c r="D320" s="32"/>
      <c r="E320" s="30"/>
      <c r="F320" s="247"/>
      <c r="G320" s="30"/>
    </row>
    <row r="321" spans="1:7" s="31" customFormat="1">
      <c r="A321" s="21" t="s">
        <v>120</v>
      </c>
      <c r="B321" s="67">
        <v>43100002</v>
      </c>
      <c r="C321" s="104">
        <v>20000000</v>
      </c>
      <c r="D321" s="137">
        <f>5566536+4689911</f>
        <v>10256447</v>
      </c>
      <c r="E321" s="30"/>
      <c r="F321" s="247"/>
      <c r="G321" s="30"/>
    </row>
    <row r="322" spans="1:7" s="31" customFormat="1">
      <c r="A322" s="21" t="s">
        <v>121</v>
      </c>
      <c r="B322" s="67"/>
      <c r="C322" s="61"/>
      <c r="D322" s="61"/>
      <c r="E322" s="30"/>
      <c r="F322" s="247"/>
      <c r="G322" s="30"/>
    </row>
    <row r="323" spans="1:7" s="31" customFormat="1" ht="19.5" thickBot="1">
      <c r="A323" s="29" t="s">
        <v>97</v>
      </c>
      <c r="B323" s="62"/>
      <c r="C323" s="34">
        <f>SUM(C321:C322)</f>
        <v>20000000</v>
      </c>
      <c r="D323" s="34">
        <f>SUM(D321:D322)</f>
        <v>10256447</v>
      </c>
      <c r="E323" s="30"/>
      <c r="F323" s="247"/>
      <c r="G323" s="30"/>
    </row>
    <row r="324" spans="1:7" s="31" customFormat="1" ht="19.5" thickTop="1">
      <c r="A324" s="7" t="s">
        <v>122</v>
      </c>
      <c r="B324" s="29">
        <v>44000000</v>
      </c>
      <c r="C324" s="80"/>
      <c r="D324" s="138"/>
      <c r="E324" s="30"/>
      <c r="F324" s="247"/>
      <c r="G324" s="30"/>
    </row>
    <row r="325" spans="1:7" s="31" customFormat="1">
      <c r="A325" s="7" t="s">
        <v>123</v>
      </c>
      <c r="B325" s="29">
        <v>44100000</v>
      </c>
      <c r="C325" s="136"/>
      <c r="D325" s="136"/>
      <c r="E325" s="30"/>
      <c r="F325" s="247"/>
      <c r="G325" s="30"/>
    </row>
    <row r="326" spans="1:7" s="31" customFormat="1">
      <c r="A326" s="21" t="s">
        <v>125</v>
      </c>
      <c r="B326" s="67">
        <v>44100001</v>
      </c>
      <c r="C326" s="103">
        <v>0</v>
      </c>
      <c r="D326" s="32">
        <v>0</v>
      </c>
      <c r="E326" s="30"/>
      <c r="F326" s="247"/>
      <c r="G326" s="30"/>
    </row>
    <row r="327" spans="1:7" s="31" customFormat="1">
      <c r="A327" s="21" t="s">
        <v>124</v>
      </c>
      <c r="B327" s="67"/>
      <c r="C327" s="103"/>
      <c r="D327" s="24"/>
      <c r="E327" s="30"/>
      <c r="F327" s="247"/>
      <c r="G327" s="30"/>
    </row>
    <row r="328" spans="1:7" s="31" customFormat="1">
      <c r="A328" s="21" t="s">
        <v>126</v>
      </c>
      <c r="B328" s="25">
        <v>44100002</v>
      </c>
      <c r="C328" s="103">
        <v>0</v>
      </c>
      <c r="D328" s="24">
        <v>0</v>
      </c>
      <c r="E328" s="30"/>
      <c r="F328" s="247"/>
      <c r="G328" s="30"/>
    </row>
    <row r="329" spans="1:7" s="31" customFormat="1">
      <c r="A329" s="29" t="s">
        <v>97</v>
      </c>
      <c r="B329" s="67"/>
      <c r="C329" s="61">
        <f>SUM(C326:C328)</f>
        <v>0</v>
      </c>
      <c r="D329" s="61">
        <f>SUM(D326:D328)</f>
        <v>0</v>
      </c>
      <c r="E329" s="30"/>
      <c r="F329" s="247"/>
      <c r="G329" s="30"/>
    </row>
    <row r="330" spans="1:7" s="31" customFormat="1" ht="19.5" thickBot="1">
      <c r="A330" s="65" t="s">
        <v>97</v>
      </c>
      <c r="B330" s="64"/>
      <c r="C330" s="34">
        <f>SUM(C282+C295+C298+C302+C314+C323+C329)</f>
        <v>36000000</v>
      </c>
      <c r="D330" s="34">
        <f>SUM(D282+D295+D298+D302+D314+D323+D329)</f>
        <v>15996802.800000001</v>
      </c>
      <c r="E330" s="30"/>
      <c r="F330" s="247"/>
      <c r="G330" s="30"/>
    </row>
    <row r="331" spans="1:7" s="31" customFormat="1" ht="19.5" thickTop="1">
      <c r="A331" s="250"/>
      <c r="B331" s="185"/>
      <c r="C331" s="74"/>
      <c r="D331" s="74"/>
      <c r="E331" s="30"/>
      <c r="F331" s="247"/>
      <c r="G331" s="30"/>
    </row>
    <row r="332" spans="1:7" s="31" customFormat="1">
      <c r="A332" s="250"/>
      <c r="B332" s="185"/>
      <c r="C332" s="74"/>
      <c r="D332" s="74"/>
      <c r="E332" s="30"/>
      <c r="F332" s="247"/>
      <c r="G332" s="30"/>
    </row>
    <row r="333" spans="1:7" s="31" customFormat="1">
      <c r="B333" s="185"/>
      <c r="C333" s="30"/>
      <c r="D333" s="30"/>
      <c r="E333" s="30"/>
      <c r="F333" s="247"/>
      <c r="G333" s="30"/>
    </row>
    <row r="334" spans="1:7" s="31" customFormat="1">
      <c r="B334" s="185"/>
      <c r="C334" s="30"/>
      <c r="D334" s="30"/>
      <c r="E334" s="30"/>
      <c r="F334" s="247"/>
      <c r="G334" s="30"/>
    </row>
    <row r="335" spans="1:7" s="31" customFormat="1">
      <c r="B335" s="185"/>
      <c r="C335" s="30"/>
      <c r="D335" s="30"/>
      <c r="E335" s="30"/>
      <c r="F335" s="247"/>
      <c r="G335" s="30"/>
    </row>
    <row r="336" spans="1:7" s="31" customFormat="1">
      <c r="B336" s="185"/>
      <c r="C336" s="30"/>
      <c r="D336" s="30"/>
      <c r="E336" s="30"/>
      <c r="F336" s="247"/>
      <c r="G336" s="30"/>
    </row>
    <row r="337" spans="1:7" s="31" customFormat="1">
      <c r="B337" s="185"/>
      <c r="C337" s="30"/>
      <c r="D337" s="30"/>
      <c r="E337" s="30"/>
      <c r="F337" s="247"/>
      <c r="G337" s="30"/>
    </row>
    <row r="338" spans="1:7" s="31" customFormat="1">
      <c r="B338" s="185"/>
      <c r="C338" s="30"/>
      <c r="D338" s="30"/>
      <c r="E338" s="30"/>
      <c r="F338" s="247"/>
      <c r="G338" s="30"/>
    </row>
    <row r="339" spans="1:7" s="31" customFormat="1">
      <c r="B339" s="185"/>
      <c r="C339" s="30"/>
      <c r="D339" s="30"/>
      <c r="E339" s="30"/>
      <c r="F339" s="247"/>
      <c r="G339" s="30"/>
    </row>
    <row r="340" spans="1:7" s="31" customFormat="1">
      <c r="B340" s="185"/>
      <c r="C340" s="30"/>
      <c r="D340" s="30"/>
      <c r="E340" s="30"/>
      <c r="F340" s="247"/>
      <c r="G340" s="30"/>
    </row>
    <row r="341" spans="1:7" s="31" customFormat="1">
      <c r="B341" s="185"/>
      <c r="C341" s="30"/>
      <c r="D341" s="30"/>
      <c r="E341" s="30"/>
      <c r="F341" s="247"/>
      <c r="G341" s="30"/>
    </row>
    <row r="342" spans="1:7" s="31" customFormat="1">
      <c r="A342" s="273"/>
      <c r="B342" s="185"/>
      <c r="C342" s="74"/>
      <c r="D342" s="78"/>
      <c r="E342" s="30"/>
      <c r="F342" s="247"/>
      <c r="G342" s="30"/>
    </row>
    <row r="343" spans="1:7" s="31" customFormat="1">
      <c r="B343" s="185"/>
      <c r="C343" s="30"/>
      <c r="D343" s="30"/>
      <c r="E343" s="30"/>
      <c r="F343" s="247"/>
      <c r="G343" s="30"/>
    </row>
    <row r="344" spans="1:7" s="31" customFormat="1" ht="21">
      <c r="A344" s="274"/>
      <c r="B344" s="77"/>
      <c r="C344" s="248"/>
      <c r="D344" s="249"/>
      <c r="E344" s="30"/>
      <c r="F344" s="247"/>
      <c r="G344" s="30"/>
    </row>
    <row r="345" spans="1:7" s="31" customFormat="1">
      <c r="A345" s="77"/>
      <c r="B345" s="77"/>
      <c r="C345" s="248"/>
      <c r="D345" s="248"/>
      <c r="E345" s="30"/>
      <c r="F345" s="247"/>
      <c r="G345" s="30"/>
    </row>
    <row r="346" spans="1:7" s="31" customFormat="1">
      <c r="A346" s="250"/>
      <c r="B346" s="273"/>
      <c r="C346" s="74"/>
      <c r="D346" s="78"/>
      <c r="E346" s="30"/>
      <c r="F346" s="247"/>
      <c r="G346" s="30"/>
    </row>
    <row r="347" spans="1:7" s="31" customFormat="1">
      <c r="A347" s="250"/>
      <c r="B347" s="273"/>
      <c r="C347" s="74"/>
      <c r="D347" s="74"/>
      <c r="E347" s="30"/>
      <c r="F347" s="247"/>
      <c r="G347" s="30"/>
    </row>
    <row r="348" spans="1:7" s="31" customFormat="1">
      <c r="B348" s="77"/>
      <c r="C348" s="30"/>
      <c r="D348" s="42"/>
      <c r="E348" s="30"/>
      <c r="F348" s="247"/>
      <c r="G348" s="30"/>
    </row>
    <row r="349" spans="1:7" s="31" customFormat="1">
      <c r="B349" s="77"/>
      <c r="C349" s="30"/>
      <c r="D349" s="42"/>
      <c r="E349" s="30"/>
      <c r="F349" s="247"/>
      <c r="G349" s="30"/>
    </row>
    <row r="350" spans="1:7" s="31" customFormat="1">
      <c r="B350" s="77"/>
      <c r="C350" s="74"/>
      <c r="D350" s="74"/>
      <c r="E350" s="30"/>
      <c r="F350" s="247"/>
      <c r="G350" s="30"/>
    </row>
    <row r="351" spans="1:7" s="31" customFormat="1">
      <c r="A351" s="273"/>
      <c r="B351" s="185"/>
      <c r="C351" s="74"/>
      <c r="D351" s="74"/>
      <c r="E351" s="30"/>
      <c r="F351" s="247"/>
      <c r="G351" s="30"/>
    </row>
    <row r="352" spans="1:7" s="31" customFormat="1">
      <c r="A352" s="250"/>
      <c r="B352" s="273"/>
      <c r="C352" s="74"/>
      <c r="D352" s="78"/>
      <c r="E352" s="30"/>
      <c r="F352" s="247"/>
      <c r="G352" s="30"/>
    </row>
    <row r="353" spans="1:7" s="31" customFormat="1">
      <c r="A353" s="250"/>
      <c r="B353" s="273"/>
      <c r="C353" s="74"/>
      <c r="D353" s="74"/>
      <c r="E353" s="30"/>
      <c r="F353" s="247"/>
      <c r="G353" s="30"/>
    </row>
    <row r="354" spans="1:7" s="31" customFormat="1">
      <c r="B354" s="77"/>
      <c r="C354" s="30"/>
      <c r="D354" s="42"/>
      <c r="E354" s="30"/>
      <c r="F354" s="247"/>
      <c r="G354" s="30"/>
    </row>
    <row r="355" spans="1:7" s="31" customFormat="1">
      <c r="B355" s="77"/>
      <c r="C355" s="30"/>
      <c r="D355" s="42"/>
      <c r="E355" s="30"/>
      <c r="F355" s="247"/>
      <c r="G355" s="30"/>
    </row>
    <row r="356" spans="1:7" s="31" customFormat="1">
      <c r="B356" s="77"/>
      <c r="C356" s="30"/>
      <c r="D356" s="42"/>
      <c r="E356" s="30"/>
      <c r="F356" s="247"/>
      <c r="G356" s="30"/>
    </row>
    <row r="357" spans="1:7" s="31" customFormat="1">
      <c r="A357" s="273"/>
      <c r="B357" s="77"/>
      <c r="C357" s="74"/>
      <c r="D357" s="74"/>
      <c r="E357" s="30"/>
      <c r="F357" s="247"/>
      <c r="G357" s="30"/>
    </row>
    <row r="358" spans="1:7" s="31" customFormat="1">
      <c r="A358" s="273"/>
      <c r="B358" s="185"/>
      <c r="C358" s="74"/>
      <c r="D358" s="74"/>
      <c r="E358" s="30"/>
      <c r="F358" s="247"/>
      <c r="G358" s="30"/>
    </row>
    <row r="359" spans="1:7" s="31" customFormat="1">
      <c r="B359" s="77"/>
      <c r="C359" s="30"/>
      <c r="D359" s="42"/>
      <c r="E359" s="30"/>
      <c r="F359" s="247"/>
      <c r="G359" s="30"/>
    </row>
    <row r="360" spans="1:7" s="31" customFormat="1">
      <c r="B360" s="77"/>
      <c r="C360" s="30"/>
      <c r="D360" s="42"/>
      <c r="E360" s="30"/>
      <c r="F360" s="247"/>
      <c r="G360" s="30"/>
    </row>
    <row r="361" spans="1:7" ht="21">
      <c r="A361" s="308" t="s">
        <v>106</v>
      </c>
      <c r="B361" s="308"/>
      <c r="C361" s="308"/>
      <c r="D361" s="308"/>
    </row>
    <row r="362" spans="1:7" ht="21">
      <c r="A362" s="308" t="s">
        <v>105</v>
      </c>
      <c r="B362" s="308"/>
      <c r="C362" s="308"/>
      <c r="D362" s="308"/>
    </row>
    <row r="363" spans="1:7" ht="21">
      <c r="A363" s="306" t="s">
        <v>320</v>
      </c>
      <c r="B363" s="306"/>
      <c r="C363" s="306"/>
      <c r="D363" s="306"/>
    </row>
    <row r="364" spans="1:7" ht="21">
      <c r="A364" s="53" t="s">
        <v>4</v>
      </c>
      <c r="B364" s="54" t="s">
        <v>16</v>
      </c>
      <c r="C364" s="55" t="s">
        <v>1</v>
      </c>
      <c r="D364" s="139" t="s">
        <v>2</v>
      </c>
    </row>
    <row r="365" spans="1:7">
      <c r="A365" s="56"/>
      <c r="B365" s="57" t="s">
        <v>17</v>
      </c>
      <c r="C365" s="58"/>
      <c r="D365" s="140"/>
    </row>
    <row r="366" spans="1:7">
      <c r="A366" s="59" t="s">
        <v>108</v>
      </c>
      <c r="B366" s="54">
        <v>41000000</v>
      </c>
      <c r="C366" s="68"/>
      <c r="D366" s="69"/>
    </row>
    <row r="367" spans="1:7">
      <c r="A367" s="7" t="s">
        <v>107</v>
      </c>
      <c r="B367" s="60">
        <v>41100000</v>
      </c>
      <c r="C367" s="136"/>
      <c r="D367" s="136"/>
    </row>
    <row r="368" spans="1:7">
      <c r="A368" s="135" t="s">
        <v>110</v>
      </c>
      <c r="B368" s="62">
        <v>41100001</v>
      </c>
      <c r="C368" s="26">
        <v>80000</v>
      </c>
      <c r="D368" s="32">
        <f>2552+27997</f>
        <v>30549</v>
      </c>
    </row>
    <row r="369" spans="1:4">
      <c r="A369" s="135" t="s">
        <v>111</v>
      </c>
      <c r="B369" s="62">
        <v>41100002</v>
      </c>
      <c r="C369" s="26">
        <v>100000</v>
      </c>
      <c r="D369" s="32">
        <f>497.26+297.04+8757.04</f>
        <v>9551.34</v>
      </c>
    </row>
    <row r="370" spans="1:4">
      <c r="A370" s="135" t="s">
        <v>112</v>
      </c>
      <c r="B370" s="62">
        <v>41100003</v>
      </c>
      <c r="C370" s="103">
        <v>6000</v>
      </c>
      <c r="D370" s="32">
        <f>1600+4772</f>
        <v>6372</v>
      </c>
    </row>
    <row r="371" spans="1:4">
      <c r="A371" s="135" t="s">
        <v>208</v>
      </c>
      <c r="B371" s="62">
        <v>41100004</v>
      </c>
      <c r="C371" s="104">
        <v>0</v>
      </c>
      <c r="D371" s="32">
        <v>0</v>
      </c>
    </row>
    <row r="372" spans="1:4" ht="19.5" thickBot="1">
      <c r="A372" s="29" t="s">
        <v>97</v>
      </c>
      <c r="B372" s="62"/>
      <c r="C372" s="34">
        <f>SUM(C368:C371)</f>
        <v>186000</v>
      </c>
      <c r="D372" s="34">
        <f>SUM(D368:D371)</f>
        <v>46472.34</v>
      </c>
    </row>
    <row r="373" spans="1:4" ht="19.5" thickTop="1">
      <c r="A373" s="7" t="s">
        <v>109</v>
      </c>
      <c r="B373" s="60">
        <v>41200000</v>
      </c>
      <c r="C373" s="80"/>
      <c r="D373" s="80"/>
    </row>
    <row r="374" spans="1:4">
      <c r="A374" s="135" t="s">
        <v>167</v>
      </c>
      <c r="B374" s="62">
        <v>41210004</v>
      </c>
      <c r="C374" s="26">
        <v>1000</v>
      </c>
      <c r="D374" s="109">
        <f>0</f>
        <v>0</v>
      </c>
    </row>
    <row r="375" spans="1:4">
      <c r="A375" s="135" t="s">
        <v>168</v>
      </c>
      <c r="B375" s="62">
        <v>41210005</v>
      </c>
      <c r="C375" s="26">
        <v>2500</v>
      </c>
      <c r="D375" s="109">
        <f>0</f>
        <v>0</v>
      </c>
    </row>
    <row r="376" spans="1:4">
      <c r="A376" s="21" t="s">
        <v>169</v>
      </c>
      <c r="B376" s="62">
        <v>41210007</v>
      </c>
      <c r="C376" s="26">
        <v>1500</v>
      </c>
      <c r="D376" s="109">
        <f>82+151+56</f>
        <v>289</v>
      </c>
    </row>
    <row r="377" spans="1:4">
      <c r="A377" s="21" t="s">
        <v>170</v>
      </c>
      <c r="B377" s="62">
        <v>41210009</v>
      </c>
      <c r="C377" s="26">
        <v>10000</v>
      </c>
      <c r="D377" s="109">
        <f>0</f>
        <v>0</v>
      </c>
    </row>
    <row r="378" spans="1:4">
      <c r="A378" s="43" t="s">
        <v>171</v>
      </c>
      <c r="B378" s="62">
        <v>41210012</v>
      </c>
      <c r="C378" s="26">
        <v>200</v>
      </c>
      <c r="D378" s="109">
        <f>10+20+30</f>
        <v>60</v>
      </c>
    </row>
    <row r="379" spans="1:4">
      <c r="A379" s="21" t="s">
        <v>172</v>
      </c>
      <c r="B379" s="62">
        <v>41210029</v>
      </c>
      <c r="C379" s="26">
        <v>300</v>
      </c>
      <c r="D379" s="109">
        <f>20+170+140</f>
        <v>330</v>
      </c>
    </row>
    <row r="380" spans="1:4">
      <c r="A380" s="21" t="s">
        <v>173</v>
      </c>
      <c r="B380" s="62">
        <v>41220002</v>
      </c>
      <c r="C380" s="26">
        <v>2000</v>
      </c>
      <c r="D380" s="109">
        <f>200+600+400</f>
        <v>1200</v>
      </c>
    </row>
    <row r="381" spans="1:4">
      <c r="A381" s="21" t="s">
        <v>174</v>
      </c>
      <c r="B381" s="62">
        <v>41220010</v>
      </c>
      <c r="C381" s="26">
        <v>50000</v>
      </c>
      <c r="D381" s="109">
        <v>6230</v>
      </c>
    </row>
    <row r="382" spans="1:4">
      <c r="A382" s="21" t="s">
        <v>175</v>
      </c>
      <c r="B382" s="62">
        <v>41230003</v>
      </c>
      <c r="C382" s="26">
        <v>40000</v>
      </c>
      <c r="D382" s="109">
        <f>11500+2500+1100+8100</f>
        <v>23200</v>
      </c>
    </row>
    <row r="383" spans="1:4">
      <c r="A383" s="21" t="s">
        <v>176</v>
      </c>
      <c r="B383" s="62">
        <v>41230007</v>
      </c>
      <c r="C383" s="103">
        <v>1000</v>
      </c>
      <c r="D383" s="109">
        <f>75+75+25</f>
        <v>175</v>
      </c>
    </row>
    <row r="384" spans="1:4">
      <c r="A384" s="21" t="s">
        <v>177</v>
      </c>
      <c r="B384" s="62">
        <v>41239999</v>
      </c>
      <c r="C384" s="104">
        <v>5000</v>
      </c>
      <c r="D384" s="109">
        <f>480+1080</f>
        <v>1560</v>
      </c>
    </row>
    <row r="385" spans="1:7" ht="19.5" thickBot="1">
      <c r="A385" s="29" t="s">
        <v>97</v>
      </c>
      <c r="B385" s="62"/>
      <c r="C385" s="34">
        <f>SUM(C374:C384)</f>
        <v>113500</v>
      </c>
      <c r="D385" s="34">
        <f>SUM(D374:D384)</f>
        <v>33044</v>
      </c>
    </row>
    <row r="386" spans="1:7" ht="19.5" thickTop="1">
      <c r="A386" s="7" t="s">
        <v>113</v>
      </c>
      <c r="B386" s="60">
        <v>413000000</v>
      </c>
      <c r="C386" s="80"/>
      <c r="D386" s="80"/>
    </row>
    <row r="387" spans="1:7">
      <c r="A387" s="21" t="s">
        <v>24</v>
      </c>
      <c r="B387" s="62">
        <v>41300003</v>
      </c>
      <c r="C387" s="104">
        <v>100000</v>
      </c>
      <c r="D387" s="137">
        <f>53111.51+9626.17</f>
        <v>62737.68</v>
      </c>
    </row>
    <row r="388" spans="1:7" ht="19.5" thickBot="1">
      <c r="A388" s="29" t="s">
        <v>97</v>
      </c>
      <c r="B388" s="62"/>
      <c r="C388" s="34">
        <f>SUM(C387)</f>
        <v>100000</v>
      </c>
      <c r="D388" s="34">
        <f>SUM(D387)</f>
        <v>62737.68</v>
      </c>
    </row>
    <row r="389" spans="1:7" s="31" customFormat="1" ht="19.5" thickTop="1">
      <c r="A389" s="7" t="s">
        <v>114</v>
      </c>
      <c r="B389" s="60">
        <v>41500000</v>
      </c>
      <c r="C389" s="80"/>
      <c r="D389" s="80"/>
      <c r="E389" s="30"/>
      <c r="F389" s="247"/>
      <c r="G389" s="30"/>
    </row>
    <row r="390" spans="1:7" s="31" customFormat="1">
      <c r="A390" s="21" t="s">
        <v>41</v>
      </c>
      <c r="B390" s="62">
        <v>41500004</v>
      </c>
      <c r="C390" s="26">
        <v>10000</v>
      </c>
      <c r="D390" s="32">
        <v>2000</v>
      </c>
      <c r="E390" s="30"/>
      <c r="F390" s="247"/>
      <c r="G390" s="30"/>
    </row>
    <row r="391" spans="1:7" s="31" customFormat="1">
      <c r="A391" s="21" t="s">
        <v>138</v>
      </c>
      <c r="B391" s="62">
        <v>41599999</v>
      </c>
      <c r="C391" s="134">
        <v>500</v>
      </c>
      <c r="D391" s="71">
        <f>296+28</f>
        <v>324</v>
      </c>
      <c r="E391" s="30"/>
      <c r="F391" s="247"/>
      <c r="G391" s="30"/>
    </row>
    <row r="392" spans="1:7" s="31" customFormat="1" ht="19.5" thickBot="1">
      <c r="A392" s="29" t="s">
        <v>97</v>
      </c>
      <c r="B392" s="62"/>
      <c r="C392" s="34">
        <f>SUM(C390:C391)</f>
        <v>10500</v>
      </c>
      <c r="D392" s="34">
        <f>SUM(D390:D391)</f>
        <v>2324</v>
      </c>
      <c r="E392" s="30"/>
      <c r="F392" s="247"/>
      <c r="G392" s="30"/>
    </row>
    <row r="393" spans="1:7" s="31" customFormat="1" ht="19.5" thickTop="1">
      <c r="A393" s="7" t="s">
        <v>115</v>
      </c>
      <c r="B393" s="62">
        <v>42000000</v>
      </c>
      <c r="C393" s="80"/>
      <c r="D393" s="80"/>
      <c r="E393" s="30"/>
      <c r="F393" s="247"/>
      <c r="G393" s="30"/>
    </row>
    <row r="394" spans="1:7" s="31" customFormat="1">
      <c r="A394" s="7" t="s">
        <v>116</v>
      </c>
      <c r="B394" s="62">
        <v>42100000</v>
      </c>
      <c r="C394" s="136"/>
      <c r="D394" s="136"/>
      <c r="E394" s="30"/>
      <c r="F394" s="247"/>
      <c r="G394" s="30"/>
    </row>
    <row r="395" spans="1:7" s="31" customFormat="1">
      <c r="A395" s="21" t="s">
        <v>139</v>
      </c>
      <c r="B395" s="62">
        <v>42100001</v>
      </c>
      <c r="C395" s="26">
        <v>1000000</v>
      </c>
      <c r="D395" s="26">
        <f>99258.32+36736.64+36835.18+56196.76</f>
        <v>229026.90000000002</v>
      </c>
      <c r="E395" s="30"/>
      <c r="F395" s="247"/>
      <c r="G395" s="30"/>
    </row>
    <row r="396" spans="1:7" s="31" customFormat="1">
      <c r="A396" s="21" t="s">
        <v>140</v>
      </c>
      <c r="B396" s="62">
        <v>42100002</v>
      </c>
      <c r="C396" s="26">
        <v>8000000</v>
      </c>
      <c r="D396" s="26">
        <f>1637456.38+809734.13+579396.58+789317.83</f>
        <v>3815904.92</v>
      </c>
      <c r="E396" s="30"/>
      <c r="F396" s="247"/>
      <c r="G396" s="30"/>
    </row>
    <row r="397" spans="1:7" s="31" customFormat="1">
      <c r="A397" s="21" t="s">
        <v>141</v>
      </c>
      <c r="B397" s="62">
        <v>42100004</v>
      </c>
      <c r="C397" s="26">
        <v>2500000</v>
      </c>
      <c r="D397" s="26">
        <f>329074.09+218802.95+192322.52+201691.06</f>
        <v>941890.62000000011</v>
      </c>
      <c r="E397" s="30"/>
      <c r="F397" s="247"/>
      <c r="G397" s="30"/>
    </row>
    <row r="398" spans="1:7" s="31" customFormat="1">
      <c r="A398" s="21" t="s">
        <v>142</v>
      </c>
      <c r="B398" s="62">
        <v>42100005</v>
      </c>
      <c r="C398" s="103">
        <v>100000</v>
      </c>
      <c r="D398" s="103">
        <f>21094.12+10100.82+10401.84</f>
        <v>41596.78</v>
      </c>
      <c r="E398" s="30"/>
      <c r="F398" s="247"/>
      <c r="G398" s="30"/>
    </row>
    <row r="399" spans="1:7" s="31" customFormat="1">
      <c r="A399" s="21" t="s">
        <v>143</v>
      </c>
      <c r="B399" s="62">
        <v>42100006</v>
      </c>
      <c r="C399" s="26">
        <v>0</v>
      </c>
      <c r="D399" s="26">
        <v>0</v>
      </c>
      <c r="E399" s="30"/>
      <c r="F399" s="247"/>
      <c r="G399" s="30"/>
    </row>
    <row r="400" spans="1:7" s="31" customFormat="1">
      <c r="A400" s="21" t="s">
        <v>144</v>
      </c>
      <c r="B400" s="62">
        <v>42100007</v>
      </c>
      <c r="C400" s="26">
        <v>3410000</v>
      </c>
      <c r="D400" s="26">
        <f>742770.21+416564.3+384550.04+476303.7</f>
        <v>2020188.25</v>
      </c>
      <c r="E400" s="30"/>
      <c r="F400" s="247"/>
      <c r="G400" s="30"/>
    </row>
    <row r="401" spans="1:7" s="31" customFormat="1">
      <c r="A401" s="21" t="s">
        <v>145</v>
      </c>
      <c r="B401" s="62">
        <v>42100012</v>
      </c>
      <c r="C401" s="26">
        <v>80000</v>
      </c>
      <c r="D401" s="26">
        <v>18106.79</v>
      </c>
      <c r="E401" s="30"/>
      <c r="F401" s="247"/>
      <c r="G401" s="30"/>
    </row>
    <row r="402" spans="1:7" s="31" customFormat="1">
      <c r="A402" s="21" t="s">
        <v>146</v>
      </c>
      <c r="B402" s="62">
        <v>42100013</v>
      </c>
      <c r="C402" s="26">
        <v>50000</v>
      </c>
      <c r="D402" s="26">
        <f>11585.92+10432.8</f>
        <v>22018.720000000001</v>
      </c>
      <c r="E402" s="30"/>
      <c r="F402" s="247"/>
      <c r="G402" s="30"/>
    </row>
    <row r="403" spans="1:7" s="31" customFormat="1">
      <c r="A403" s="21" t="s">
        <v>147</v>
      </c>
      <c r="B403" s="62">
        <v>42100015</v>
      </c>
      <c r="C403" s="134">
        <v>450000</v>
      </c>
      <c r="D403" s="26">
        <f>87504+19696+11232+53156</f>
        <v>171588</v>
      </c>
      <c r="E403" s="30"/>
      <c r="F403" s="247"/>
      <c r="G403" s="30"/>
    </row>
    <row r="404" spans="1:7" s="31" customFormat="1">
      <c r="A404" s="65" t="s">
        <v>97</v>
      </c>
      <c r="B404" s="64"/>
      <c r="C404" s="61">
        <f>SUM(C395:C403)</f>
        <v>15590000</v>
      </c>
      <c r="D404" s="66">
        <f>SUM(D395:D403)</f>
        <v>7260320.9799999995</v>
      </c>
      <c r="E404" s="30"/>
      <c r="F404" s="247"/>
      <c r="G404" s="30"/>
    </row>
    <row r="405" spans="1:7" s="31" customFormat="1">
      <c r="A405" s="213"/>
      <c r="B405" s="146"/>
      <c r="C405" s="85"/>
      <c r="D405" s="85"/>
      <c r="E405" s="30"/>
      <c r="F405" s="247"/>
      <c r="G405" s="30"/>
    </row>
    <row r="406" spans="1:7" s="31" customFormat="1" ht="21">
      <c r="A406" s="53" t="s">
        <v>4</v>
      </c>
      <c r="B406" s="54" t="s">
        <v>16</v>
      </c>
      <c r="C406" s="55" t="s">
        <v>1</v>
      </c>
      <c r="D406" s="139" t="s">
        <v>2</v>
      </c>
      <c r="E406" s="30"/>
      <c r="F406" s="247"/>
      <c r="G406" s="30"/>
    </row>
    <row r="407" spans="1:7" s="31" customFormat="1">
      <c r="A407" s="56"/>
      <c r="B407" s="57" t="s">
        <v>17</v>
      </c>
      <c r="C407" s="58"/>
      <c r="D407" s="140"/>
      <c r="E407" s="30"/>
      <c r="F407" s="247"/>
      <c r="G407" s="30"/>
    </row>
    <row r="408" spans="1:7" s="31" customFormat="1">
      <c r="A408" s="7" t="s">
        <v>117</v>
      </c>
      <c r="B408" s="29">
        <v>43000000</v>
      </c>
      <c r="C408" s="80"/>
      <c r="D408" s="138"/>
      <c r="E408" s="30"/>
      <c r="F408" s="247"/>
      <c r="G408" s="30"/>
    </row>
    <row r="409" spans="1:7" s="31" customFormat="1">
      <c r="A409" s="7" t="s">
        <v>118</v>
      </c>
      <c r="B409" s="29">
        <v>43100000</v>
      </c>
      <c r="C409" s="136"/>
      <c r="D409" s="136"/>
      <c r="E409" s="30"/>
      <c r="F409" s="247"/>
      <c r="G409" s="30"/>
    </row>
    <row r="410" spans="1:7" s="31" customFormat="1">
      <c r="A410" s="21" t="s">
        <v>119</v>
      </c>
      <c r="B410" s="67">
        <v>43100001</v>
      </c>
      <c r="C410" s="26"/>
      <c r="D410" s="32"/>
      <c r="E410" s="30"/>
      <c r="F410" s="247"/>
      <c r="G410" s="30"/>
    </row>
    <row r="411" spans="1:7" s="31" customFormat="1">
      <c r="A411" s="21" t="s">
        <v>120</v>
      </c>
      <c r="B411" s="67">
        <v>43100002</v>
      </c>
      <c r="C411" s="104">
        <v>20000000</v>
      </c>
      <c r="D411" s="137">
        <f>5566536+4689911+689000</f>
        <v>10945447</v>
      </c>
      <c r="E411" s="30"/>
      <c r="F411" s="247"/>
      <c r="G411" s="30"/>
    </row>
    <row r="412" spans="1:7" s="31" customFormat="1">
      <c r="A412" s="21" t="s">
        <v>121</v>
      </c>
      <c r="B412" s="67"/>
      <c r="C412" s="61"/>
      <c r="D412" s="61"/>
      <c r="E412" s="30"/>
      <c r="F412" s="247"/>
      <c r="G412" s="30"/>
    </row>
    <row r="413" spans="1:7" s="31" customFormat="1" ht="19.5" thickBot="1">
      <c r="A413" s="29" t="s">
        <v>97</v>
      </c>
      <c r="B413" s="62"/>
      <c r="C413" s="34">
        <f>SUM(C411:C412)</f>
        <v>20000000</v>
      </c>
      <c r="D413" s="34">
        <f>SUM(D411:D412)</f>
        <v>10945447</v>
      </c>
      <c r="E413" s="30"/>
      <c r="F413" s="247"/>
      <c r="G413" s="30"/>
    </row>
    <row r="414" spans="1:7" s="31" customFormat="1" ht="19.5" thickTop="1">
      <c r="A414" s="7" t="s">
        <v>122</v>
      </c>
      <c r="B414" s="29">
        <v>44000000</v>
      </c>
      <c r="C414" s="80"/>
      <c r="D414" s="138"/>
      <c r="E414" s="30"/>
      <c r="F414" s="247"/>
      <c r="G414" s="30"/>
    </row>
    <row r="415" spans="1:7" s="31" customFormat="1">
      <c r="A415" s="7" t="s">
        <v>123</v>
      </c>
      <c r="B415" s="29">
        <v>44100000</v>
      </c>
      <c r="C415" s="136"/>
      <c r="D415" s="136"/>
      <c r="E415" s="30"/>
      <c r="F415" s="247"/>
      <c r="G415" s="30"/>
    </row>
    <row r="416" spans="1:7" s="31" customFormat="1">
      <c r="A416" s="21" t="s">
        <v>125</v>
      </c>
      <c r="B416" s="67">
        <v>44100001</v>
      </c>
      <c r="C416" s="103">
        <v>0</v>
      </c>
      <c r="D416" s="32">
        <v>0</v>
      </c>
      <c r="E416" s="30"/>
      <c r="F416" s="247"/>
      <c r="G416" s="30"/>
    </row>
    <row r="417" spans="1:7" s="31" customFormat="1">
      <c r="A417" s="21" t="s">
        <v>124</v>
      </c>
      <c r="B417" s="67"/>
      <c r="C417" s="103"/>
      <c r="D417" s="24"/>
      <c r="E417" s="30"/>
      <c r="F417" s="247"/>
      <c r="G417" s="30"/>
    </row>
    <row r="418" spans="1:7" s="31" customFormat="1">
      <c r="A418" s="21" t="s">
        <v>126</v>
      </c>
      <c r="B418" s="25">
        <v>44100002</v>
      </c>
      <c r="C418" s="103">
        <v>0</v>
      </c>
      <c r="D418" s="24">
        <v>0</v>
      </c>
      <c r="E418" s="30"/>
      <c r="F418" s="247"/>
      <c r="G418" s="30"/>
    </row>
    <row r="419" spans="1:7" s="31" customFormat="1">
      <c r="A419" s="29" t="s">
        <v>97</v>
      </c>
      <c r="B419" s="67"/>
      <c r="C419" s="61">
        <f>SUM(C416:C418)</f>
        <v>0</v>
      </c>
      <c r="D419" s="61">
        <f>SUM(D416:D418)</f>
        <v>0</v>
      </c>
      <c r="E419" s="30"/>
      <c r="F419" s="247"/>
      <c r="G419" s="30"/>
    </row>
    <row r="420" spans="1:7" s="31" customFormat="1" ht="19.5" thickBot="1">
      <c r="A420" s="65" t="s">
        <v>97</v>
      </c>
      <c r="B420" s="64"/>
      <c r="C420" s="34">
        <f>SUM(C372+C385+C388+C392+C404+C413+C419)</f>
        <v>36000000</v>
      </c>
      <c r="D420" s="34">
        <f>SUM(D372+D385+D388+D392+D404+D413+D419)</f>
        <v>18350346</v>
      </c>
      <c r="E420" s="30"/>
      <c r="F420" s="247"/>
      <c r="G420" s="30"/>
    </row>
    <row r="421" spans="1:7" s="31" customFormat="1" ht="19.5" thickTop="1">
      <c r="A421" s="250"/>
      <c r="B421" s="185"/>
      <c r="C421" s="74"/>
      <c r="D421" s="74"/>
      <c r="E421" s="30"/>
      <c r="F421" s="247"/>
      <c r="G421" s="30"/>
    </row>
    <row r="422" spans="1:7" s="31" customFormat="1">
      <c r="A422" s="250"/>
      <c r="B422" s="185"/>
      <c r="C422" s="74"/>
      <c r="D422" s="74"/>
      <c r="E422" s="30"/>
      <c r="F422" s="247"/>
      <c r="G422" s="30"/>
    </row>
    <row r="423" spans="1:7" s="31" customFormat="1">
      <c r="B423" s="185"/>
      <c r="C423" s="30"/>
      <c r="D423" s="30"/>
      <c r="E423" s="30"/>
      <c r="F423" s="247"/>
      <c r="G423" s="30"/>
    </row>
    <row r="424" spans="1:7" s="31" customFormat="1">
      <c r="B424" s="185"/>
      <c r="C424" s="30"/>
      <c r="D424" s="30"/>
      <c r="E424" s="30"/>
      <c r="F424" s="247"/>
      <c r="G424" s="30"/>
    </row>
    <row r="425" spans="1:7" s="31" customFormat="1">
      <c r="B425" s="185"/>
      <c r="C425" s="30"/>
      <c r="D425" s="30"/>
      <c r="E425" s="30"/>
      <c r="F425" s="247"/>
      <c r="G425" s="30"/>
    </row>
    <row r="426" spans="1:7" s="31" customFormat="1">
      <c r="B426" s="185"/>
      <c r="C426" s="30"/>
      <c r="D426" s="30"/>
      <c r="E426" s="30"/>
      <c r="F426" s="247"/>
      <c r="G426" s="30"/>
    </row>
    <row r="427" spans="1:7" s="31" customFormat="1">
      <c r="B427" s="185"/>
      <c r="C427" s="30"/>
      <c r="D427" s="30"/>
      <c r="E427" s="30"/>
      <c r="F427" s="247"/>
      <c r="G427" s="30"/>
    </row>
    <row r="428" spans="1:7" s="31" customFormat="1">
      <c r="B428" s="185"/>
      <c r="C428" s="30"/>
      <c r="D428" s="30"/>
      <c r="E428" s="30"/>
      <c r="F428" s="247"/>
      <c r="G428" s="30"/>
    </row>
    <row r="429" spans="1:7" s="31" customFormat="1">
      <c r="B429" s="185"/>
      <c r="C429" s="30"/>
      <c r="D429" s="30"/>
      <c r="E429" s="30"/>
      <c r="F429" s="247"/>
      <c r="G429" s="30"/>
    </row>
    <row r="430" spans="1:7" s="31" customFormat="1">
      <c r="B430" s="185"/>
      <c r="C430" s="30"/>
      <c r="D430" s="30"/>
      <c r="E430" s="30"/>
      <c r="F430" s="247"/>
      <c r="G430" s="30"/>
    </row>
    <row r="431" spans="1:7" s="31" customFormat="1">
      <c r="B431" s="185"/>
      <c r="C431" s="30"/>
      <c r="D431" s="30"/>
      <c r="E431" s="30"/>
      <c r="F431" s="247"/>
      <c r="G431" s="30"/>
    </row>
    <row r="432" spans="1:7" s="31" customFormat="1">
      <c r="A432" s="279"/>
      <c r="B432" s="185"/>
      <c r="C432" s="74"/>
      <c r="D432" s="78"/>
      <c r="E432" s="30"/>
      <c r="F432" s="247"/>
      <c r="G432" s="30"/>
    </row>
    <row r="433" spans="1:7" s="31" customFormat="1">
      <c r="B433" s="185"/>
      <c r="C433" s="30"/>
      <c r="D433" s="30"/>
      <c r="E433" s="30"/>
      <c r="F433" s="247"/>
      <c r="G433" s="30"/>
    </row>
    <row r="434" spans="1:7" s="31" customFormat="1" ht="21">
      <c r="A434" s="280"/>
      <c r="B434" s="77"/>
      <c r="C434" s="248"/>
      <c r="D434" s="249"/>
      <c r="E434" s="30"/>
      <c r="F434" s="247"/>
      <c r="G434" s="30"/>
    </row>
    <row r="435" spans="1:7" s="31" customFormat="1">
      <c r="A435" s="77"/>
      <c r="B435" s="77"/>
      <c r="C435" s="248"/>
      <c r="D435" s="248"/>
      <c r="E435" s="30"/>
      <c r="F435" s="247"/>
      <c r="G435" s="30"/>
    </row>
    <row r="436" spans="1:7" s="31" customFormat="1">
      <c r="A436" s="250"/>
      <c r="B436" s="279"/>
      <c r="C436" s="74"/>
      <c r="D436" s="78"/>
      <c r="E436" s="30"/>
      <c r="F436" s="247"/>
      <c r="G436" s="30"/>
    </row>
    <row r="437" spans="1:7" s="31" customFormat="1">
      <c r="A437" s="250"/>
      <c r="B437" s="279"/>
      <c r="C437" s="74"/>
      <c r="D437" s="74"/>
      <c r="E437" s="30"/>
      <c r="F437" s="247"/>
      <c r="G437" s="30"/>
    </row>
    <row r="438" spans="1:7" s="31" customFormat="1">
      <c r="B438" s="77"/>
      <c r="C438" s="30"/>
      <c r="D438" s="42"/>
      <c r="E438" s="30"/>
      <c r="F438" s="247"/>
      <c r="G438" s="30"/>
    </row>
    <row r="439" spans="1:7" s="31" customFormat="1">
      <c r="B439" s="77"/>
      <c r="C439" s="30"/>
      <c r="D439" s="42"/>
      <c r="E439" s="30"/>
      <c r="F439" s="247"/>
      <c r="G439" s="30"/>
    </row>
    <row r="440" spans="1:7" s="31" customFormat="1">
      <c r="B440" s="77"/>
      <c r="C440" s="74"/>
      <c r="D440" s="74"/>
      <c r="E440" s="30"/>
      <c r="F440" s="247"/>
      <c r="G440" s="30"/>
    </row>
    <row r="441" spans="1:7" s="31" customFormat="1">
      <c r="A441" s="279"/>
      <c r="B441" s="185"/>
      <c r="C441" s="74"/>
      <c r="D441" s="74"/>
      <c r="E441" s="30"/>
      <c r="F441" s="247"/>
      <c r="G441" s="30"/>
    </row>
    <row r="442" spans="1:7" s="31" customFormat="1">
      <c r="A442" s="250"/>
      <c r="B442" s="279"/>
      <c r="C442" s="74"/>
      <c r="D442" s="78"/>
      <c r="E442" s="30"/>
      <c r="F442" s="247"/>
      <c r="G442" s="30"/>
    </row>
    <row r="443" spans="1:7" s="31" customFormat="1">
      <c r="A443" s="250"/>
      <c r="B443" s="279"/>
      <c r="C443" s="74"/>
      <c r="D443" s="74"/>
      <c r="E443" s="30"/>
      <c r="F443" s="247"/>
      <c r="G443" s="30"/>
    </row>
    <row r="444" spans="1:7" s="31" customFormat="1">
      <c r="B444" s="77"/>
      <c r="C444" s="30"/>
      <c r="D444" s="42"/>
      <c r="E444" s="30"/>
      <c r="F444" s="247"/>
      <c r="G444" s="30"/>
    </row>
    <row r="445" spans="1:7" s="31" customFormat="1">
      <c r="B445" s="77"/>
      <c r="C445" s="30"/>
      <c r="D445" s="42"/>
      <c r="E445" s="30"/>
      <c r="F445" s="247"/>
      <c r="G445" s="30"/>
    </row>
    <row r="446" spans="1:7" s="31" customFormat="1">
      <c r="B446" s="77"/>
      <c r="C446" s="30"/>
      <c r="D446" s="42"/>
      <c r="E446" s="30"/>
      <c r="F446" s="247"/>
      <c r="G446" s="30"/>
    </row>
    <row r="447" spans="1:7" s="31" customFormat="1">
      <c r="A447" s="279"/>
      <c r="B447" s="77"/>
      <c r="C447" s="74"/>
      <c r="D447" s="74"/>
      <c r="E447" s="30"/>
      <c r="F447" s="247"/>
      <c r="G447" s="30"/>
    </row>
    <row r="448" spans="1:7" s="31" customFormat="1">
      <c r="A448" s="279"/>
      <c r="B448" s="185"/>
      <c r="C448" s="74"/>
      <c r="D448" s="74"/>
      <c r="E448" s="30"/>
      <c r="F448" s="247"/>
      <c r="G448" s="30"/>
    </row>
    <row r="449" spans="1:7" s="31" customFormat="1">
      <c r="B449" s="77"/>
      <c r="C449" s="30"/>
      <c r="D449" s="42"/>
      <c r="E449" s="30"/>
      <c r="F449" s="247"/>
      <c r="G449" s="30"/>
    </row>
    <row r="450" spans="1:7" s="31" customFormat="1">
      <c r="B450" s="77"/>
      <c r="C450" s="30"/>
      <c r="D450" s="42"/>
      <c r="E450" s="30"/>
      <c r="F450" s="247"/>
      <c r="G450" s="30"/>
    </row>
    <row r="451" spans="1:7" ht="21">
      <c r="A451" s="308" t="s">
        <v>106</v>
      </c>
      <c r="B451" s="308"/>
      <c r="C451" s="308"/>
      <c r="D451" s="308"/>
    </row>
    <row r="452" spans="1:7" ht="21">
      <c r="A452" s="308" t="s">
        <v>105</v>
      </c>
      <c r="B452" s="308"/>
      <c r="C452" s="308"/>
      <c r="D452" s="308"/>
    </row>
    <row r="453" spans="1:7" ht="21">
      <c r="A453" s="306" t="s">
        <v>335</v>
      </c>
      <c r="B453" s="306"/>
      <c r="C453" s="306"/>
      <c r="D453" s="306"/>
    </row>
    <row r="454" spans="1:7" ht="21">
      <c r="A454" s="53" t="s">
        <v>4</v>
      </c>
      <c r="B454" s="54" t="s">
        <v>16</v>
      </c>
      <c r="C454" s="55" t="s">
        <v>1</v>
      </c>
      <c r="D454" s="139" t="s">
        <v>2</v>
      </c>
    </row>
    <row r="455" spans="1:7">
      <c r="A455" s="56"/>
      <c r="B455" s="57" t="s">
        <v>17</v>
      </c>
      <c r="C455" s="58"/>
      <c r="D455" s="140"/>
    </row>
    <row r="456" spans="1:7">
      <c r="A456" s="59" t="s">
        <v>108</v>
      </c>
      <c r="B456" s="54">
        <v>41000000</v>
      </c>
      <c r="C456" s="68"/>
      <c r="D456" s="69"/>
    </row>
    <row r="457" spans="1:7">
      <c r="A457" s="7" t="s">
        <v>107</v>
      </c>
      <c r="B457" s="60">
        <v>41100000</v>
      </c>
      <c r="C457" s="136"/>
      <c r="D457" s="136"/>
    </row>
    <row r="458" spans="1:7">
      <c r="A458" s="135" t="s">
        <v>110</v>
      </c>
      <c r="B458" s="62">
        <v>41100001</v>
      </c>
      <c r="C458" s="26">
        <v>80000</v>
      </c>
      <c r="D458" s="32">
        <f>2552+27997+24384.88</f>
        <v>54933.880000000005</v>
      </c>
    </row>
    <row r="459" spans="1:7">
      <c r="A459" s="135" t="s">
        <v>111</v>
      </c>
      <c r="B459" s="62">
        <v>41100002</v>
      </c>
      <c r="C459" s="26">
        <v>100000</v>
      </c>
      <c r="D459" s="32">
        <f>497.26+297.04+8757.04+32163.98</f>
        <v>41715.32</v>
      </c>
    </row>
    <row r="460" spans="1:7">
      <c r="A460" s="135" t="s">
        <v>112</v>
      </c>
      <c r="B460" s="62">
        <v>41100003</v>
      </c>
      <c r="C460" s="103">
        <v>6000</v>
      </c>
      <c r="D460" s="32">
        <f>1600+4772+2640</f>
        <v>9012</v>
      </c>
    </row>
    <row r="461" spans="1:7">
      <c r="A461" s="135" t="s">
        <v>208</v>
      </c>
      <c r="B461" s="62">
        <v>41100004</v>
      </c>
      <c r="C461" s="104">
        <v>0</v>
      </c>
      <c r="D461" s="32">
        <v>0</v>
      </c>
    </row>
    <row r="462" spans="1:7" ht="19.5" thickBot="1">
      <c r="A462" s="29" t="s">
        <v>97</v>
      </c>
      <c r="B462" s="62"/>
      <c r="C462" s="34">
        <f>SUM(C458:C461)</f>
        <v>186000</v>
      </c>
      <c r="D462" s="34">
        <f>SUM(D458:D461)</f>
        <v>105661.20000000001</v>
      </c>
    </row>
    <row r="463" spans="1:7" ht="19.5" thickTop="1">
      <c r="A463" s="7" t="s">
        <v>109</v>
      </c>
      <c r="B463" s="60">
        <v>41200000</v>
      </c>
      <c r="C463" s="80"/>
      <c r="D463" s="80"/>
    </row>
    <row r="464" spans="1:7">
      <c r="A464" s="135" t="s">
        <v>167</v>
      </c>
      <c r="B464" s="62">
        <v>41210004</v>
      </c>
      <c r="C464" s="26">
        <v>1000</v>
      </c>
      <c r="D464" s="109">
        <f>0</f>
        <v>0</v>
      </c>
    </row>
    <row r="465" spans="1:7">
      <c r="A465" s="135" t="s">
        <v>168</v>
      </c>
      <c r="B465" s="62">
        <v>41210005</v>
      </c>
      <c r="C465" s="26">
        <v>2500</v>
      </c>
      <c r="D465" s="109">
        <f>0</f>
        <v>0</v>
      </c>
    </row>
    <row r="466" spans="1:7">
      <c r="A466" s="21" t="s">
        <v>169</v>
      </c>
      <c r="B466" s="62">
        <v>41210007</v>
      </c>
      <c r="C466" s="26">
        <v>1500</v>
      </c>
      <c r="D466" s="109">
        <f>82+151+56+334</f>
        <v>623</v>
      </c>
    </row>
    <row r="467" spans="1:7">
      <c r="A467" s="21" t="s">
        <v>170</v>
      </c>
      <c r="B467" s="62">
        <v>41210009</v>
      </c>
      <c r="C467" s="26">
        <v>10000</v>
      </c>
      <c r="D467" s="109">
        <f>0</f>
        <v>0</v>
      </c>
    </row>
    <row r="468" spans="1:7">
      <c r="A468" s="43" t="s">
        <v>171</v>
      </c>
      <c r="B468" s="62">
        <v>41210012</v>
      </c>
      <c r="C468" s="26">
        <v>200</v>
      </c>
      <c r="D468" s="109">
        <f>10+20+30</f>
        <v>60</v>
      </c>
    </row>
    <row r="469" spans="1:7">
      <c r="A469" s="21" t="s">
        <v>172</v>
      </c>
      <c r="B469" s="62">
        <v>41210029</v>
      </c>
      <c r="C469" s="26">
        <v>300</v>
      </c>
      <c r="D469" s="109">
        <f>20+170+140</f>
        <v>330</v>
      </c>
    </row>
    <row r="470" spans="1:7">
      <c r="A470" s="21" t="s">
        <v>173</v>
      </c>
      <c r="B470" s="62">
        <v>41220002</v>
      </c>
      <c r="C470" s="26">
        <v>2000</v>
      </c>
      <c r="D470" s="109">
        <f>200+600+400+100</f>
        <v>1300</v>
      </c>
    </row>
    <row r="471" spans="1:7">
      <c r="A471" s="21" t="s">
        <v>174</v>
      </c>
      <c r="B471" s="62">
        <v>41220010</v>
      </c>
      <c r="C471" s="26">
        <v>50000</v>
      </c>
      <c r="D471" s="109">
        <f>6230+13468</f>
        <v>19698</v>
      </c>
    </row>
    <row r="472" spans="1:7">
      <c r="A472" s="21" t="s">
        <v>175</v>
      </c>
      <c r="B472" s="62">
        <v>41230003</v>
      </c>
      <c r="C472" s="26">
        <v>40000</v>
      </c>
      <c r="D472" s="109">
        <f>11500+2500+1100+8100+3800</f>
        <v>27000</v>
      </c>
    </row>
    <row r="473" spans="1:7">
      <c r="A473" s="21" t="s">
        <v>176</v>
      </c>
      <c r="B473" s="62">
        <v>41230007</v>
      </c>
      <c r="C473" s="103">
        <v>1000</v>
      </c>
      <c r="D473" s="109">
        <f>75+75+25+125</f>
        <v>300</v>
      </c>
    </row>
    <row r="474" spans="1:7">
      <c r="A474" s="21" t="s">
        <v>177</v>
      </c>
      <c r="B474" s="62">
        <v>41239999</v>
      </c>
      <c r="C474" s="104">
        <v>5000</v>
      </c>
      <c r="D474" s="109">
        <f>480+1080+600</f>
        <v>2160</v>
      </c>
    </row>
    <row r="475" spans="1:7" ht="19.5" thickBot="1">
      <c r="A475" s="29" t="s">
        <v>97</v>
      </c>
      <c r="B475" s="62"/>
      <c r="C475" s="34">
        <f>SUM(C464:C474)</f>
        <v>113500</v>
      </c>
      <c r="D475" s="34">
        <f>SUM(D464:D474)</f>
        <v>51471</v>
      </c>
    </row>
    <row r="476" spans="1:7" ht="19.5" thickTop="1">
      <c r="A476" s="7" t="s">
        <v>113</v>
      </c>
      <c r="B476" s="60">
        <v>413000000</v>
      </c>
      <c r="C476" s="80"/>
      <c r="D476" s="80"/>
    </row>
    <row r="477" spans="1:7">
      <c r="A477" s="21" t="s">
        <v>24</v>
      </c>
      <c r="B477" s="62">
        <v>41300003</v>
      </c>
      <c r="C477" s="104">
        <v>100000</v>
      </c>
      <c r="D477" s="137">
        <f>53111.51+9626.17+5247.63</f>
        <v>67985.31</v>
      </c>
    </row>
    <row r="478" spans="1:7" ht="19.5" thickBot="1">
      <c r="A478" s="29" t="s">
        <v>97</v>
      </c>
      <c r="B478" s="62"/>
      <c r="C478" s="34">
        <f>SUM(C477)</f>
        <v>100000</v>
      </c>
      <c r="D478" s="34">
        <f>SUM(D477)</f>
        <v>67985.31</v>
      </c>
    </row>
    <row r="479" spans="1:7" s="31" customFormat="1" ht="19.5" thickTop="1">
      <c r="A479" s="7" t="s">
        <v>114</v>
      </c>
      <c r="B479" s="60">
        <v>41500000</v>
      </c>
      <c r="C479" s="80"/>
      <c r="D479" s="80"/>
      <c r="E479" s="30"/>
      <c r="F479" s="247"/>
      <c r="G479" s="30"/>
    </row>
    <row r="480" spans="1:7" s="31" customFormat="1">
      <c r="A480" s="21" t="s">
        <v>41</v>
      </c>
      <c r="B480" s="62">
        <v>41500004</v>
      </c>
      <c r="C480" s="26">
        <v>10000</v>
      </c>
      <c r="D480" s="32">
        <f>2000+15000</f>
        <v>17000</v>
      </c>
      <c r="E480" s="30"/>
      <c r="F480" s="247"/>
      <c r="G480" s="30"/>
    </row>
    <row r="481" spans="1:7" s="31" customFormat="1">
      <c r="A481" s="21" t="s">
        <v>138</v>
      </c>
      <c r="B481" s="62">
        <v>41599999</v>
      </c>
      <c r="C481" s="134">
        <v>500</v>
      </c>
      <c r="D481" s="71">
        <f>296+28</f>
        <v>324</v>
      </c>
      <c r="E481" s="30"/>
      <c r="F481" s="247"/>
      <c r="G481" s="30"/>
    </row>
    <row r="482" spans="1:7" s="31" customFormat="1" ht="19.5" thickBot="1">
      <c r="A482" s="29" t="s">
        <v>97</v>
      </c>
      <c r="B482" s="62"/>
      <c r="C482" s="34">
        <f>SUM(C480:C481)</f>
        <v>10500</v>
      </c>
      <c r="D482" s="34">
        <f>SUM(D480:D481)</f>
        <v>17324</v>
      </c>
      <c r="E482" s="30"/>
      <c r="F482" s="247"/>
      <c r="G482" s="30"/>
    </row>
    <row r="483" spans="1:7" s="31" customFormat="1" ht="19.5" thickTop="1">
      <c r="A483" s="7" t="s">
        <v>115</v>
      </c>
      <c r="B483" s="62">
        <v>42000000</v>
      </c>
      <c r="C483" s="80"/>
      <c r="D483" s="80"/>
      <c r="E483" s="30"/>
      <c r="F483" s="247"/>
      <c r="G483" s="30"/>
    </row>
    <row r="484" spans="1:7" s="31" customFormat="1">
      <c r="A484" s="7" t="s">
        <v>116</v>
      </c>
      <c r="B484" s="62">
        <v>42100000</v>
      </c>
      <c r="C484" s="136"/>
      <c r="D484" s="136"/>
      <c r="E484" s="30"/>
      <c r="F484" s="247"/>
      <c r="G484" s="30"/>
    </row>
    <row r="485" spans="1:7" s="31" customFormat="1">
      <c r="A485" s="21" t="s">
        <v>139</v>
      </c>
      <c r="B485" s="62">
        <v>42100001</v>
      </c>
      <c r="C485" s="26">
        <v>1000000</v>
      </c>
      <c r="D485" s="26">
        <f>99258.32+36736.64+36835.18+56196.76+48058.45</f>
        <v>277085.35000000003</v>
      </c>
      <c r="E485" s="30"/>
      <c r="F485" s="247"/>
      <c r="G485" s="30"/>
    </row>
    <row r="486" spans="1:7" s="31" customFormat="1">
      <c r="A486" s="21" t="s">
        <v>140</v>
      </c>
      <c r="B486" s="62">
        <v>42100002</v>
      </c>
      <c r="C486" s="26">
        <v>8000000</v>
      </c>
      <c r="D486" s="26">
        <f>1637456.38+809734.13+579396.58+789317.83+765984.95</f>
        <v>4581889.87</v>
      </c>
      <c r="E486" s="30"/>
      <c r="F486" s="247"/>
      <c r="G486" s="30"/>
    </row>
    <row r="487" spans="1:7" s="31" customFormat="1">
      <c r="A487" s="21" t="s">
        <v>141</v>
      </c>
      <c r="B487" s="62">
        <v>42100004</v>
      </c>
      <c r="C487" s="26">
        <v>2500000</v>
      </c>
      <c r="D487" s="26">
        <f>329074.09+218802.95+192322.52+201691.06+218450.15</f>
        <v>1160340.77</v>
      </c>
      <c r="E487" s="30"/>
      <c r="F487" s="247"/>
      <c r="G487" s="30"/>
    </row>
    <row r="488" spans="1:7" s="31" customFormat="1">
      <c r="A488" s="21" t="s">
        <v>142</v>
      </c>
      <c r="B488" s="62">
        <v>42100005</v>
      </c>
      <c r="C488" s="103">
        <v>100000</v>
      </c>
      <c r="D488" s="103">
        <f>21094.12+10100.82+10401.84+27032.14</f>
        <v>68628.92</v>
      </c>
      <c r="E488" s="30"/>
      <c r="F488" s="247"/>
      <c r="G488" s="30"/>
    </row>
    <row r="489" spans="1:7" s="31" customFormat="1">
      <c r="A489" s="21" t="s">
        <v>143</v>
      </c>
      <c r="B489" s="62">
        <v>42100006</v>
      </c>
      <c r="C489" s="26">
        <v>0</v>
      </c>
      <c r="D489" s="26">
        <v>0</v>
      </c>
      <c r="E489" s="30"/>
      <c r="F489" s="247"/>
      <c r="G489" s="30"/>
    </row>
    <row r="490" spans="1:7" s="31" customFormat="1">
      <c r="A490" s="21" t="s">
        <v>144</v>
      </c>
      <c r="B490" s="62">
        <v>42100007</v>
      </c>
      <c r="C490" s="26">
        <v>3410000</v>
      </c>
      <c r="D490" s="26">
        <f>742770.21+416564.3+384550.04+476303.7+393534.17</f>
        <v>2413722.42</v>
      </c>
      <c r="E490" s="30"/>
      <c r="F490" s="247"/>
      <c r="G490" s="30"/>
    </row>
    <row r="491" spans="1:7" s="31" customFormat="1">
      <c r="A491" s="21" t="s">
        <v>145</v>
      </c>
      <c r="B491" s="62">
        <v>42100012</v>
      </c>
      <c r="C491" s="26">
        <v>80000</v>
      </c>
      <c r="D491" s="26">
        <f>18106.79+16090.85</f>
        <v>34197.64</v>
      </c>
      <c r="E491" s="30"/>
      <c r="F491" s="247"/>
      <c r="G491" s="30"/>
    </row>
    <row r="492" spans="1:7" s="31" customFormat="1">
      <c r="A492" s="21" t="s">
        <v>146</v>
      </c>
      <c r="B492" s="62">
        <v>42100013</v>
      </c>
      <c r="C492" s="26">
        <v>50000</v>
      </c>
      <c r="D492" s="26">
        <f>11585.92+10432.8</f>
        <v>22018.720000000001</v>
      </c>
      <c r="E492" s="30"/>
      <c r="F492" s="247"/>
      <c r="G492" s="30"/>
    </row>
    <row r="493" spans="1:7" s="31" customFormat="1">
      <c r="A493" s="21" t="s">
        <v>147</v>
      </c>
      <c r="B493" s="62">
        <v>42100015</v>
      </c>
      <c r="C493" s="134">
        <v>450000</v>
      </c>
      <c r="D493" s="26">
        <f>87504+19696+11232+53156+38830</f>
        <v>210418</v>
      </c>
      <c r="E493" s="30"/>
      <c r="F493" s="247"/>
      <c r="G493" s="30"/>
    </row>
    <row r="494" spans="1:7" s="31" customFormat="1">
      <c r="A494" s="65" t="s">
        <v>97</v>
      </c>
      <c r="B494" s="64"/>
      <c r="C494" s="61">
        <f>SUM(C485:C493)</f>
        <v>15590000</v>
      </c>
      <c r="D494" s="66">
        <f>SUM(D485:D493)</f>
        <v>8768301.6900000013</v>
      </c>
      <c r="E494" s="30"/>
      <c r="F494" s="247"/>
      <c r="G494" s="30"/>
    </row>
    <row r="495" spans="1:7" s="31" customFormat="1">
      <c r="A495" s="213"/>
      <c r="B495" s="146"/>
      <c r="C495" s="85"/>
      <c r="D495" s="85"/>
      <c r="E495" s="30"/>
      <c r="F495" s="247"/>
      <c r="G495" s="30"/>
    </row>
    <row r="496" spans="1:7" s="31" customFormat="1" ht="21">
      <c r="A496" s="53" t="s">
        <v>4</v>
      </c>
      <c r="B496" s="54" t="s">
        <v>16</v>
      </c>
      <c r="C496" s="55" t="s">
        <v>1</v>
      </c>
      <c r="D496" s="139" t="s">
        <v>2</v>
      </c>
      <c r="E496" s="30"/>
      <c r="F496" s="247"/>
      <c r="G496" s="30"/>
    </row>
    <row r="497" spans="1:7" s="31" customFormat="1">
      <c r="A497" s="56"/>
      <c r="B497" s="57" t="s">
        <v>17</v>
      </c>
      <c r="C497" s="58"/>
      <c r="D497" s="140"/>
      <c r="E497" s="30"/>
      <c r="F497" s="247"/>
      <c r="G497" s="30"/>
    </row>
    <row r="498" spans="1:7" s="31" customFormat="1">
      <c r="A498" s="7" t="s">
        <v>117</v>
      </c>
      <c r="B498" s="29">
        <v>43000000</v>
      </c>
      <c r="C498" s="80"/>
      <c r="D498" s="138"/>
      <c r="E498" s="30"/>
      <c r="F498" s="247"/>
      <c r="G498" s="30"/>
    </row>
    <row r="499" spans="1:7" s="31" customFormat="1">
      <c r="A499" s="7" t="s">
        <v>118</v>
      </c>
      <c r="B499" s="29">
        <v>43100000</v>
      </c>
      <c r="C499" s="136"/>
      <c r="D499" s="136"/>
      <c r="E499" s="30"/>
      <c r="F499" s="247"/>
      <c r="G499" s="30"/>
    </row>
    <row r="500" spans="1:7" s="31" customFormat="1">
      <c r="A500" s="21" t="s">
        <v>119</v>
      </c>
      <c r="B500" s="67">
        <v>43100001</v>
      </c>
      <c r="C500" s="26"/>
      <c r="D500" s="32"/>
      <c r="E500" s="30"/>
      <c r="F500" s="247"/>
      <c r="G500" s="30"/>
    </row>
    <row r="501" spans="1:7" s="31" customFormat="1">
      <c r="A501" s="21" t="s">
        <v>120</v>
      </c>
      <c r="B501" s="67">
        <v>43100002</v>
      </c>
      <c r="C501" s="104">
        <v>20000000</v>
      </c>
      <c r="D501" s="137">
        <f>5566536+4689911+689000</f>
        <v>10945447</v>
      </c>
      <c r="E501" s="30"/>
      <c r="F501" s="247"/>
      <c r="G501" s="30"/>
    </row>
    <row r="502" spans="1:7" s="31" customFormat="1">
      <c r="A502" s="21" t="s">
        <v>121</v>
      </c>
      <c r="B502" s="67"/>
      <c r="C502" s="61"/>
      <c r="D502" s="61"/>
      <c r="E502" s="30"/>
      <c r="F502" s="247"/>
      <c r="G502" s="30"/>
    </row>
    <row r="503" spans="1:7" s="31" customFormat="1" ht="19.5" thickBot="1">
      <c r="A503" s="29" t="s">
        <v>97</v>
      </c>
      <c r="B503" s="62"/>
      <c r="C503" s="34">
        <f>SUM(C501:C502)</f>
        <v>20000000</v>
      </c>
      <c r="D503" s="34">
        <f>SUM(D501:D502)</f>
        <v>10945447</v>
      </c>
      <c r="E503" s="30"/>
      <c r="F503" s="247"/>
      <c r="G503" s="30"/>
    </row>
    <row r="504" spans="1:7" s="31" customFormat="1" ht="19.5" thickTop="1">
      <c r="A504" s="7" t="s">
        <v>122</v>
      </c>
      <c r="B504" s="29">
        <v>44000000</v>
      </c>
      <c r="C504" s="80"/>
      <c r="D504" s="138"/>
      <c r="E504" s="30"/>
      <c r="F504" s="247"/>
      <c r="G504" s="30"/>
    </row>
    <row r="505" spans="1:7" s="31" customFormat="1">
      <c r="A505" s="7" t="s">
        <v>123</v>
      </c>
      <c r="B505" s="29">
        <v>44100000</v>
      </c>
      <c r="C505" s="136"/>
      <c r="D505" s="136"/>
      <c r="E505" s="30"/>
      <c r="F505" s="247"/>
      <c r="G505" s="30"/>
    </row>
    <row r="506" spans="1:7" s="31" customFormat="1">
      <c r="A506" s="21" t="s">
        <v>125</v>
      </c>
      <c r="B506" s="67">
        <v>44100001</v>
      </c>
      <c r="C506" s="103">
        <v>0</v>
      </c>
      <c r="D506" s="32">
        <v>0</v>
      </c>
      <c r="E506" s="30"/>
      <c r="F506" s="247"/>
      <c r="G506" s="30"/>
    </row>
    <row r="507" spans="1:7" s="31" customFormat="1">
      <c r="A507" s="21" t="s">
        <v>124</v>
      </c>
      <c r="B507" s="67"/>
      <c r="C507" s="103"/>
      <c r="D507" s="24"/>
      <c r="E507" s="30"/>
      <c r="F507" s="247"/>
      <c r="G507" s="30"/>
    </row>
    <row r="508" spans="1:7" s="31" customFormat="1">
      <c r="A508" s="21" t="s">
        <v>126</v>
      </c>
      <c r="B508" s="25">
        <v>44100002</v>
      </c>
      <c r="C508" s="103">
        <v>0</v>
      </c>
      <c r="D508" s="24">
        <v>0</v>
      </c>
      <c r="E508" s="30"/>
      <c r="F508" s="247"/>
      <c r="G508" s="30"/>
    </row>
    <row r="509" spans="1:7" s="31" customFormat="1">
      <c r="A509" s="29" t="s">
        <v>97</v>
      </c>
      <c r="B509" s="67"/>
      <c r="C509" s="61">
        <f>SUM(C506:C508)</f>
        <v>0</v>
      </c>
      <c r="D509" s="61">
        <f>SUM(D506:D508)</f>
        <v>0</v>
      </c>
      <c r="E509" s="30"/>
      <c r="F509" s="247"/>
      <c r="G509" s="30"/>
    </row>
    <row r="510" spans="1:7" s="31" customFormat="1" ht="19.5" thickBot="1">
      <c r="A510" s="65" t="s">
        <v>97</v>
      </c>
      <c r="B510" s="64"/>
      <c r="C510" s="34">
        <f>SUM(C462+C475+C478+C482+C494+C503+C509)</f>
        <v>36000000</v>
      </c>
      <c r="D510" s="34">
        <f>SUM(D462+D475+D478+D482+D494+D503+D509)</f>
        <v>19956190.200000003</v>
      </c>
      <c r="E510" s="30"/>
      <c r="F510" s="247"/>
      <c r="G510" s="30"/>
    </row>
    <row r="511" spans="1:7" s="31" customFormat="1" ht="19.5" thickTop="1">
      <c r="A511" s="250"/>
      <c r="B511" s="185"/>
      <c r="C511" s="74"/>
      <c r="D511" s="74"/>
      <c r="E511" s="30"/>
      <c r="F511" s="247"/>
      <c r="G511" s="30"/>
    </row>
    <row r="512" spans="1:7" s="31" customFormat="1">
      <c r="A512" s="250"/>
      <c r="B512" s="185"/>
      <c r="C512" s="74"/>
      <c r="D512" s="74"/>
      <c r="E512" s="30"/>
      <c r="F512" s="247"/>
      <c r="G512" s="30"/>
    </row>
    <row r="513" spans="1:7" s="31" customFormat="1">
      <c r="B513" s="185"/>
      <c r="C513" s="30"/>
      <c r="D513" s="30"/>
      <c r="E513" s="30"/>
      <c r="F513" s="247"/>
      <c r="G513" s="30"/>
    </row>
    <row r="514" spans="1:7" s="31" customFormat="1">
      <c r="B514" s="185"/>
      <c r="C514" s="30"/>
      <c r="D514" s="30"/>
      <c r="E514" s="30"/>
      <c r="F514" s="247"/>
      <c r="G514" s="30"/>
    </row>
    <row r="515" spans="1:7" s="31" customFormat="1">
      <c r="B515" s="185"/>
      <c r="C515" s="30"/>
      <c r="D515" s="30"/>
      <c r="E515" s="30"/>
      <c r="F515" s="247"/>
      <c r="G515" s="30"/>
    </row>
    <row r="516" spans="1:7" s="31" customFormat="1">
      <c r="B516" s="185"/>
      <c r="C516" s="30"/>
      <c r="D516" s="30"/>
      <c r="E516" s="30"/>
      <c r="F516" s="247"/>
      <c r="G516" s="30"/>
    </row>
    <row r="517" spans="1:7" s="31" customFormat="1">
      <c r="B517" s="185"/>
      <c r="C517" s="30"/>
      <c r="D517" s="30"/>
      <c r="E517" s="30"/>
      <c r="F517" s="247"/>
      <c r="G517" s="30"/>
    </row>
    <row r="518" spans="1:7" s="31" customFormat="1">
      <c r="B518" s="185"/>
      <c r="C518" s="30"/>
      <c r="D518" s="30"/>
      <c r="E518" s="30"/>
      <c r="F518" s="247"/>
      <c r="G518" s="30"/>
    </row>
    <row r="519" spans="1:7" s="31" customFormat="1">
      <c r="B519" s="185"/>
      <c r="C519" s="30"/>
      <c r="D519" s="30"/>
      <c r="E519" s="30"/>
      <c r="F519" s="247"/>
      <c r="G519" s="30"/>
    </row>
    <row r="520" spans="1:7" s="31" customFormat="1">
      <c r="B520" s="185"/>
      <c r="C520" s="30"/>
      <c r="D520" s="30"/>
      <c r="E520" s="30"/>
      <c r="F520" s="247"/>
      <c r="G520" s="30"/>
    </row>
    <row r="521" spans="1:7" s="31" customFormat="1">
      <c r="B521" s="185"/>
      <c r="C521" s="30"/>
      <c r="D521" s="30"/>
      <c r="E521" s="30"/>
      <c r="F521" s="247"/>
      <c r="G521" s="30"/>
    </row>
    <row r="522" spans="1:7" s="31" customFormat="1">
      <c r="A522" s="286"/>
      <c r="B522" s="185"/>
      <c r="C522" s="74"/>
      <c r="D522" s="78"/>
      <c r="E522" s="30"/>
      <c r="F522" s="247"/>
      <c r="G522" s="30"/>
    </row>
    <row r="523" spans="1:7" s="31" customFormat="1">
      <c r="B523" s="185"/>
      <c r="C523" s="30"/>
      <c r="D523" s="30"/>
      <c r="E523" s="30"/>
      <c r="F523" s="247"/>
      <c r="G523" s="30"/>
    </row>
    <row r="524" spans="1:7" s="31" customFormat="1" ht="21">
      <c r="A524" s="288"/>
      <c r="B524" s="77"/>
      <c r="C524" s="248"/>
      <c r="D524" s="249"/>
      <c r="E524" s="30"/>
      <c r="F524" s="247"/>
      <c r="G524" s="30"/>
    </row>
    <row r="525" spans="1:7" s="31" customFormat="1">
      <c r="A525" s="77"/>
      <c r="B525" s="77"/>
      <c r="C525" s="248"/>
      <c r="D525" s="248"/>
      <c r="E525" s="30"/>
      <c r="F525" s="247"/>
      <c r="G525" s="30"/>
    </row>
    <row r="526" spans="1:7" s="31" customFormat="1">
      <c r="A526" s="250"/>
      <c r="B526" s="286"/>
      <c r="C526" s="74"/>
      <c r="D526" s="78"/>
      <c r="E526" s="30"/>
      <c r="F526" s="247"/>
      <c r="G526" s="30"/>
    </row>
    <row r="527" spans="1:7" s="31" customFormat="1">
      <c r="A527" s="250"/>
      <c r="B527" s="286"/>
      <c r="C527" s="74"/>
      <c r="D527" s="74"/>
      <c r="E527" s="30"/>
      <c r="F527" s="247"/>
      <c r="G527" s="30"/>
    </row>
    <row r="528" spans="1:7" s="31" customFormat="1">
      <c r="B528" s="77"/>
      <c r="C528" s="30"/>
      <c r="D528" s="42"/>
      <c r="E528" s="30"/>
      <c r="F528" s="247"/>
      <c r="G528" s="30"/>
    </row>
    <row r="529" spans="1:7" s="31" customFormat="1">
      <c r="B529" s="77"/>
      <c r="C529" s="30"/>
      <c r="D529" s="42"/>
      <c r="E529" s="30"/>
      <c r="F529" s="247"/>
      <c r="G529" s="30"/>
    </row>
    <row r="530" spans="1:7" s="31" customFormat="1">
      <c r="B530" s="77"/>
      <c r="C530" s="74"/>
      <c r="D530" s="74"/>
      <c r="E530" s="30"/>
      <c r="F530" s="247"/>
      <c r="G530" s="30"/>
    </row>
    <row r="531" spans="1:7" s="31" customFormat="1">
      <c r="A531" s="286"/>
      <c r="B531" s="185"/>
      <c r="C531" s="74"/>
      <c r="D531" s="74"/>
      <c r="E531" s="30"/>
      <c r="F531" s="247"/>
      <c r="G531" s="30"/>
    </row>
    <row r="532" spans="1:7" s="31" customFormat="1">
      <c r="A532" s="250"/>
      <c r="B532" s="286"/>
      <c r="C532" s="74"/>
      <c r="D532" s="78"/>
      <c r="E532" s="30"/>
      <c r="F532" s="247"/>
      <c r="G532" s="30"/>
    </row>
    <row r="533" spans="1:7" s="31" customFormat="1">
      <c r="A533" s="250"/>
      <c r="B533" s="286"/>
      <c r="C533" s="74"/>
      <c r="D533" s="74"/>
      <c r="E533" s="30"/>
      <c r="F533" s="247"/>
      <c r="G533" s="30"/>
    </row>
    <row r="534" spans="1:7" s="31" customFormat="1">
      <c r="B534" s="77"/>
      <c r="C534" s="30"/>
      <c r="D534" s="42"/>
      <c r="E534" s="30"/>
      <c r="F534" s="247"/>
      <c r="G534" s="30"/>
    </row>
    <row r="535" spans="1:7" s="31" customFormat="1">
      <c r="B535" s="77"/>
      <c r="C535" s="30"/>
      <c r="D535" s="42"/>
      <c r="E535" s="30"/>
      <c r="F535" s="247"/>
      <c r="G535" s="30"/>
    </row>
    <row r="536" spans="1:7" s="31" customFormat="1">
      <c r="B536" s="77"/>
      <c r="C536" s="30"/>
      <c r="D536" s="42"/>
      <c r="E536" s="30"/>
      <c r="F536" s="247"/>
      <c r="G536" s="30"/>
    </row>
    <row r="537" spans="1:7" s="31" customFormat="1">
      <c r="A537" s="286"/>
      <c r="B537" s="77"/>
      <c r="C537" s="74"/>
      <c r="D537" s="74"/>
      <c r="E537" s="30"/>
      <c r="F537" s="247"/>
      <c r="G537" s="30"/>
    </row>
    <row r="538" spans="1:7" s="31" customFormat="1">
      <c r="A538" s="286"/>
      <c r="B538" s="185"/>
      <c r="C538" s="74"/>
      <c r="D538" s="74"/>
      <c r="E538" s="30"/>
      <c r="F538" s="247"/>
      <c r="G538" s="30"/>
    </row>
    <row r="539" spans="1:7" s="31" customFormat="1">
      <c r="B539" s="77"/>
      <c r="C539" s="30"/>
      <c r="D539" s="42"/>
      <c r="E539" s="30"/>
      <c r="F539" s="247"/>
      <c r="G539" s="30"/>
    </row>
    <row r="540" spans="1:7" s="31" customFormat="1">
      <c r="B540" s="77"/>
      <c r="C540" s="30"/>
      <c r="D540" s="42"/>
      <c r="E540" s="30"/>
      <c r="F540" s="247"/>
      <c r="G540" s="30"/>
    </row>
    <row r="541" spans="1:7" ht="21">
      <c r="A541" s="308" t="s">
        <v>106</v>
      </c>
      <c r="B541" s="308"/>
      <c r="C541" s="308"/>
      <c r="D541" s="308"/>
    </row>
    <row r="542" spans="1:7" ht="21">
      <c r="A542" s="308" t="s">
        <v>105</v>
      </c>
      <c r="B542" s="308"/>
      <c r="C542" s="308"/>
      <c r="D542" s="308"/>
    </row>
    <row r="543" spans="1:7" ht="21">
      <c r="A543" s="306" t="s">
        <v>352</v>
      </c>
      <c r="B543" s="306"/>
      <c r="C543" s="306"/>
      <c r="D543" s="306"/>
    </row>
    <row r="544" spans="1:7" ht="21">
      <c r="A544" s="53" t="s">
        <v>4</v>
      </c>
      <c r="B544" s="54" t="s">
        <v>16</v>
      </c>
      <c r="C544" s="55" t="s">
        <v>1</v>
      </c>
      <c r="D544" s="139" t="s">
        <v>2</v>
      </c>
    </row>
    <row r="545" spans="1:4">
      <c r="A545" s="56"/>
      <c r="B545" s="57" t="s">
        <v>17</v>
      </c>
      <c r="C545" s="58"/>
      <c r="D545" s="140"/>
    </row>
    <row r="546" spans="1:4">
      <c r="A546" s="59" t="s">
        <v>108</v>
      </c>
      <c r="B546" s="54">
        <v>41000000</v>
      </c>
      <c r="C546" s="68"/>
      <c r="D546" s="69"/>
    </row>
    <row r="547" spans="1:4">
      <c r="A547" s="7" t="s">
        <v>107</v>
      </c>
      <c r="B547" s="60">
        <v>41100000</v>
      </c>
      <c r="C547" s="136"/>
      <c r="D547" s="136"/>
    </row>
    <row r="548" spans="1:4">
      <c r="A548" s="135" t="s">
        <v>110</v>
      </c>
      <c r="B548" s="62">
        <v>41100001</v>
      </c>
      <c r="C548" s="26">
        <v>80000</v>
      </c>
      <c r="D548" s="32">
        <f>2552+27997+24384.88+14323.5</f>
        <v>69257.38</v>
      </c>
    </row>
    <row r="549" spans="1:4">
      <c r="A549" s="135" t="s">
        <v>111</v>
      </c>
      <c r="B549" s="62">
        <v>41100002</v>
      </c>
      <c r="C549" s="26">
        <v>100000</v>
      </c>
      <c r="D549" s="32">
        <f>497.26+297.04+8757.04+32163.98+28360.74</f>
        <v>70076.06</v>
      </c>
    </row>
    <row r="550" spans="1:4">
      <c r="A550" s="135" t="s">
        <v>112</v>
      </c>
      <c r="B550" s="62">
        <v>41100003</v>
      </c>
      <c r="C550" s="103">
        <v>6000</v>
      </c>
      <c r="D550" s="32">
        <f>1600+4772+2640+816</f>
        <v>9828</v>
      </c>
    </row>
    <row r="551" spans="1:4">
      <c r="A551" s="135" t="s">
        <v>208</v>
      </c>
      <c r="B551" s="62">
        <v>41100004</v>
      </c>
      <c r="C551" s="104">
        <v>0</v>
      </c>
      <c r="D551" s="32">
        <v>0</v>
      </c>
    </row>
    <row r="552" spans="1:4" ht="19.5" thickBot="1">
      <c r="A552" s="29" t="s">
        <v>97</v>
      </c>
      <c r="B552" s="62"/>
      <c r="C552" s="34">
        <f>SUM(C548:C551)</f>
        <v>186000</v>
      </c>
      <c r="D552" s="34">
        <f>SUM(D548:D551)</f>
        <v>149161.44</v>
      </c>
    </row>
    <row r="553" spans="1:4" ht="19.5" thickTop="1">
      <c r="A553" s="7" t="s">
        <v>109</v>
      </c>
      <c r="B553" s="60">
        <v>41200000</v>
      </c>
      <c r="C553" s="80"/>
      <c r="D553" s="80"/>
    </row>
    <row r="554" spans="1:4">
      <c r="A554" s="135" t="s">
        <v>167</v>
      </c>
      <c r="B554" s="62">
        <v>41210004</v>
      </c>
      <c r="C554" s="26">
        <v>1000</v>
      </c>
      <c r="D554" s="109">
        <f>0</f>
        <v>0</v>
      </c>
    </row>
    <row r="555" spans="1:4">
      <c r="A555" s="135" t="s">
        <v>168</v>
      </c>
      <c r="B555" s="62">
        <v>41210005</v>
      </c>
      <c r="C555" s="26">
        <v>2500</v>
      </c>
      <c r="D555" s="109">
        <f>0</f>
        <v>0</v>
      </c>
    </row>
    <row r="556" spans="1:4">
      <c r="A556" s="21" t="s">
        <v>169</v>
      </c>
      <c r="B556" s="62">
        <v>41210007</v>
      </c>
      <c r="C556" s="26">
        <v>1500</v>
      </c>
      <c r="D556" s="109">
        <f>82+151+56+334+100</f>
        <v>723</v>
      </c>
    </row>
    <row r="557" spans="1:4">
      <c r="A557" s="21" t="s">
        <v>170</v>
      </c>
      <c r="B557" s="62">
        <v>41210009</v>
      </c>
      <c r="C557" s="26">
        <v>10000</v>
      </c>
      <c r="D557" s="109">
        <f>0</f>
        <v>0</v>
      </c>
    </row>
    <row r="558" spans="1:4">
      <c r="A558" s="43" t="s">
        <v>171</v>
      </c>
      <c r="B558" s="62">
        <v>41210012</v>
      </c>
      <c r="C558" s="26">
        <v>200</v>
      </c>
      <c r="D558" s="109">
        <f>10+20+30</f>
        <v>60</v>
      </c>
    </row>
    <row r="559" spans="1:4">
      <c r="A559" s="21" t="s">
        <v>172</v>
      </c>
      <c r="B559" s="62">
        <v>41210029</v>
      </c>
      <c r="C559" s="26">
        <v>300</v>
      </c>
      <c r="D559" s="109">
        <f>20+170+140+50</f>
        <v>380</v>
      </c>
    </row>
    <row r="560" spans="1:4">
      <c r="A560" s="21" t="s">
        <v>173</v>
      </c>
      <c r="B560" s="62">
        <v>41220002</v>
      </c>
      <c r="C560" s="26">
        <v>2000</v>
      </c>
      <c r="D560" s="109">
        <f>200+600+400+100+500</f>
        <v>1800</v>
      </c>
    </row>
    <row r="561" spans="1:7">
      <c r="A561" s="21" t="s">
        <v>174</v>
      </c>
      <c r="B561" s="62">
        <v>41220010</v>
      </c>
      <c r="C561" s="26">
        <v>50000</v>
      </c>
      <c r="D561" s="109">
        <f>6230+13468</f>
        <v>19698</v>
      </c>
    </row>
    <row r="562" spans="1:7">
      <c r="A562" s="21" t="s">
        <v>175</v>
      </c>
      <c r="B562" s="62">
        <v>41230003</v>
      </c>
      <c r="C562" s="26">
        <v>40000</v>
      </c>
      <c r="D562" s="109">
        <f>11500+2500+1100+8100+3800+3080</f>
        <v>30080</v>
      </c>
    </row>
    <row r="563" spans="1:7">
      <c r="A563" s="21" t="s">
        <v>176</v>
      </c>
      <c r="B563" s="62">
        <v>41230007</v>
      </c>
      <c r="C563" s="103">
        <v>1000</v>
      </c>
      <c r="D563" s="109">
        <f>75+75+25+125+143</f>
        <v>443</v>
      </c>
    </row>
    <row r="564" spans="1:7">
      <c r="A564" s="21" t="s">
        <v>177</v>
      </c>
      <c r="B564" s="62">
        <v>41239999</v>
      </c>
      <c r="C564" s="104">
        <v>5000</v>
      </c>
      <c r="D564" s="109">
        <f>480+1080+600+2248</f>
        <v>4408</v>
      </c>
    </row>
    <row r="565" spans="1:7" ht="19.5" thickBot="1">
      <c r="A565" s="29" t="s">
        <v>97</v>
      </c>
      <c r="B565" s="62"/>
      <c r="C565" s="34">
        <f>SUM(C554:C564)</f>
        <v>113500</v>
      </c>
      <c r="D565" s="34">
        <f>SUM(D554:D564)</f>
        <v>57592</v>
      </c>
    </row>
    <row r="566" spans="1:7" ht="19.5" thickTop="1">
      <c r="A566" s="7" t="s">
        <v>113</v>
      </c>
      <c r="B566" s="60">
        <v>413000000</v>
      </c>
      <c r="C566" s="80"/>
      <c r="D566" s="80"/>
    </row>
    <row r="567" spans="1:7">
      <c r="A567" s="21" t="s">
        <v>24</v>
      </c>
      <c r="B567" s="62">
        <v>41300003</v>
      </c>
      <c r="C567" s="104">
        <v>100000</v>
      </c>
      <c r="D567" s="137">
        <f>53111.51+9626.17+5247.63</f>
        <v>67985.31</v>
      </c>
    </row>
    <row r="568" spans="1:7" ht="19.5" thickBot="1">
      <c r="A568" s="29" t="s">
        <v>97</v>
      </c>
      <c r="B568" s="62"/>
      <c r="C568" s="34">
        <f>SUM(C567)</f>
        <v>100000</v>
      </c>
      <c r="D568" s="34">
        <f>SUM(D567)</f>
        <v>67985.31</v>
      </c>
    </row>
    <row r="569" spans="1:7" s="31" customFormat="1" ht="19.5" thickTop="1">
      <c r="A569" s="7" t="s">
        <v>114</v>
      </c>
      <c r="B569" s="60">
        <v>41500000</v>
      </c>
      <c r="C569" s="80"/>
      <c r="D569" s="80"/>
      <c r="E569" s="30"/>
      <c r="F569" s="247"/>
      <c r="G569" s="30"/>
    </row>
    <row r="570" spans="1:7" s="31" customFormat="1">
      <c r="A570" s="21" t="s">
        <v>41</v>
      </c>
      <c r="B570" s="62">
        <v>41500004</v>
      </c>
      <c r="C570" s="26">
        <v>10000</v>
      </c>
      <c r="D570" s="32">
        <f>2000+15000</f>
        <v>17000</v>
      </c>
      <c r="E570" s="30"/>
      <c r="F570" s="247"/>
      <c r="G570" s="30"/>
    </row>
    <row r="571" spans="1:7" s="31" customFormat="1">
      <c r="A571" s="21" t="s">
        <v>138</v>
      </c>
      <c r="B571" s="62">
        <v>41599999</v>
      </c>
      <c r="C571" s="134">
        <v>500</v>
      </c>
      <c r="D571" s="71">
        <f>296+28</f>
        <v>324</v>
      </c>
      <c r="E571" s="30"/>
      <c r="F571" s="247"/>
      <c r="G571" s="30"/>
    </row>
    <row r="572" spans="1:7" s="31" customFormat="1" ht="19.5" thickBot="1">
      <c r="A572" s="29" t="s">
        <v>97</v>
      </c>
      <c r="B572" s="62"/>
      <c r="C572" s="34">
        <f>SUM(C570:C571)</f>
        <v>10500</v>
      </c>
      <c r="D572" s="34">
        <f>SUM(D570:D571)</f>
        <v>17324</v>
      </c>
      <c r="E572" s="30"/>
      <c r="F572" s="247"/>
      <c r="G572" s="30"/>
    </row>
    <row r="573" spans="1:7" s="31" customFormat="1" ht="19.5" thickTop="1">
      <c r="A573" s="7" t="s">
        <v>115</v>
      </c>
      <c r="B573" s="62">
        <v>42000000</v>
      </c>
      <c r="C573" s="80"/>
      <c r="D573" s="80"/>
      <c r="E573" s="30"/>
      <c r="F573" s="247"/>
      <c r="G573" s="30"/>
    </row>
    <row r="574" spans="1:7" s="31" customFormat="1">
      <c r="A574" s="7" t="s">
        <v>116</v>
      </c>
      <c r="B574" s="62">
        <v>42100000</v>
      </c>
      <c r="C574" s="136"/>
      <c r="D574" s="136"/>
      <c r="E574" s="30"/>
      <c r="F574" s="247"/>
      <c r="G574" s="30"/>
    </row>
    <row r="575" spans="1:7" s="31" customFormat="1">
      <c r="A575" s="21" t="s">
        <v>139</v>
      </c>
      <c r="B575" s="62">
        <v>42100001</v>
      </c>
      <c r="C575" s="26">
        <v>1000000</v>
      </c>
      <c r="D575" s="26">
        <f>99258.32+36736.64+36835.18+56196.76+48058.45+46580.88</f>
        <v>323666.23000000004</v>
      </c>
      <c r="E575" s="30"/>
      <c r="F575" s="247"/>
      <c r="G575" s="30"/>
    </row>
    <row r="576" spans="1:7" s="31" customFormat="1">
      <c r="A576" s="21" t="s">
        <v>140</v>
      </c>
      <c r="B576" s="62">
        <v>42100002</v>
      </c>
      <c r="C576" s="26">
        <v>8000000</v>
      </c>
      <c r="D576" s="26">
        <f>1637456.38+809734.13+579396.58+789317.83+765984.95+795581.45</f>
        <v>5377471.3200000003</v>
      </c>
      <c r="E576" s="30"/>
      <c r="F576" s="247"/>
      <c r="G576" s="30"/>
    </row>
    <row r="577" spans="1:7" s="31" customFormat="1">
      <c r="A577" s="21" t="s">
        <v>141</v>
      </c>
      <c r="B577" s="62">
        <v>42100004</v>
      </c>
      <c r="C577" s="26">
        <v>2500000</v>
      </c>
      <c r="D577" s="26">
        <f>329074.09+218802.95+192322.52+201691.06+218450.15+233138.62</f>
        <v>1393479.3900000001</v>
      </c>
      <c r="E577" s="30"/>
      <c r="F577" s="247"/>
      <c r="G577" s="30"/>
    </row>
    <row r="578" spans="1:7" s="31" customFormat="1">
      <c r="A578" s="21" t="s">
        <v>142</v>
      </c>
      <c r="B578" s="62">
        <v>42100005</v>
      </c>
      <c r="C578" s="103">
        <v>100000</v>
      </c>
      <c r="D578" s="103">
        <f>21094.12+10100.82+10401.84+27032.14</f>
        <v>68628.92</v>
      </c>
      <c r="E578" s="30"/>
      <c r="F578" s="247"/>
      <c r="G578" s="30"/>
    </row>
    <row r="579" spans="1:7" s="31" customFormat="1">
      <c r="A579" s="21" t="s">
        <v>143</v>
      </c>
      <c r="B579" s="62">
        <v>42100006</v>
      </c>
      <c r="C579" s="26">
        <v>0</v>
      </c>
      <c r="D579" s="26">
        <v>0</v>
      </c>
      <c r="E579" s="30"/>
      <c r="F579" s="247"/>
      <c r="G579" s="30"/>
    </row>
    <row r="580" spans="1:7" s="31" customFormat="1">
      <c r="A580" s="21" t="s">
        <v>144</v>
      </c>
      <c r="B580" s="62">
        <v>42100007</v>
      </c>
      <c r="C580" s="26">
        <v>3410000</v>
      </c>
      <c r="D580" s="26">
        <f>742770.21+416564.3+384550.04+476303.7+393534.17+439961.66</f>
        <v>2853684.08</v>
      </c>
      <c r="E580" s="30"/>
      <c r="F580" s="247"/>
      <c r="G580" s="30"/>
    </row>
    <row r="581" spans="1:7" s="31" customFormat="1">
      <c r="A581" s="21" t="s">
        <v>145</v>
      </c>
      <c r="B581" s="62">
        <v>42100012</v>
      </c>
      <c r="C581" s="26">
        <v>80000</v>
      </c>
      <c r="D581" s="26">
        <f>18106.79+16090.85</f>
        <v>34197.64</v>
      </c>
      <c r="E581" s="30"/>
      <c r="F581" s="247"/>
      <c r="G581" s="30"/>
    </row>
    <row r="582" spans="1:7" s="31" customFormat="1">
      <c r="A582" s="21" t="s">
        <v>146</v>
      </c>
      <c r="B582" s="62">
        <v>42100013</v>
      </c>
      <c r="C582" s="26">
        <v>50000</v>
      </c>
      <c r="D582" s="26">
        <f>11585.92+10432.8</f>
        <v>22018.720000000001</v>
      </c>
      <c r="E582" s="30"/>
      <c r="F582" s="247"/>
      <c r="G582" s="30"/>
    </row>
    <row r="583" spans="1:7" s="31" customFormat="1">
      <c r="A583" s="21" t="s">
        <v>147</v>
      </c>
      <c r="B583" s="62">
        <v>42100015</v>
      </c>
      <c r="C583" s="134">
        <v>450000</v>
      </c>
      <c r="D583" s="26">
        <f>87504+19696+11232+53156+38830+41415</f>
        <v>251833</v>
      </c>
      <c r="E583" s="30"/>
      <c r="F583" s="247"/>
      <c r="G583" s="30"/>
    </row>
    <row r="584" spans="1:7" s="31" customFormat="1">
      <c r="A584" s="65" t="s">
        <v>97</v>
      </c>
      <c r="B584" s="64"/>
      <c r="C584" s="61">
        <f>SUM(C575:C583)</f>
        <v>15590000</v>
      </c>
      <c r="D584" s="66">
        <f>SUM(D575:D583)</f>
        <v>10324979.300000003</v>
      </c>
      <c r="E584" s="30"/>
      <c r="F584" s="247"/>
      <c r="G584" s="30"/>
    </row>
    <row r="585" spans="1:7" s="31" customFormat="1">
      <c r="A585" s="213"/>
      <c r="B585" s="146"/>
      <c r="C585" s="85"/>
      <c r="D585" s="85"/>
      <c r="E585" s="30"/>
      <c r="F585" s="247"/>
      <c r="G585" s="30"/>
    </row>
    <row r="586" spans="1:7" s="31" customFormat="1" ht="21">
      <c r="A586" s="53" t="s">
        <v>4</v>
      </c>
      <c r="B586" s="54" t="s">
        <v>16</v>
      </c>
      <c r="C586" s="55" t="s">
        <v>1</v>
      </c>
      <c r="D586" s="139" t="s">
        <v>2</v>
      </c>
      <c r="E586" s="30"/>
      <c r="F586" s="247"/>
      <c r="G586" s="30"/>
    </row>
    <row r="587" spans="1:7" s="31" customFormat="1">
      <c r="A587" s="56"/>
      <c r="B587" s="57" t="s">
        <v>17</v>
      </c>
      <c r="C587" s="58"/>
      <c r="D587" s="140"/>
      <c r="E587" s="30"/>
      <c r="F587" s="247"/>
      <c r="G587" s="30"/>
    </row>
    <row r="588" spans="1:7" s="31" customFormat="1">
      <c r="A588" s="7" t="s">
        <v>117</v>
      </c>
      <c r="B588" s="29">
        <v>43000000</v>
      </c>
      <c r="C588" s="80"/>
      <c r="D588" s="138"/>
      <c r="E588" s="30"/>
      <c r="F588" s="247"/>
      <c r="G588" s="30"/>
    </row>
    <row r="589" spans="1:7" s="31" customFormat="1">
      <c r="A589" s="7" t="s">
        <v>118</v>
      </c>
      <c r="B589" s="29">
        <v>43100000</v>
      </c>
      <c r="C589" s="136"/>
      <c r="D589" s="136"/>
      <c r="E589" s="30"/>
      <c r="F589" s="247"/>
      <c r="G589" s="30"/>
    </row>
    <row r="590" spans="1:7" s="31" customFormat="1">
      <c r="A590" s="21" t="s">
        <v>119</v>
      </c>
      <c r="B590" s="67">
        <v>43100001</v>
      </c>
      <c r="C590" s="26"/>
      <c r="D590" s="32"/>
      <c r="E590" s="30"/>
      <c r="F590" s="247"/>
      <c r="G590" s="30"/>
    </row>
    <row r="591" spans="1:7" s="31" customFormat="1">
      <c r="A591" s="21" t="s">
        <v>120</v>
      </c>
      <c r="B591" s="67">
        <v>43100002</v>
      </c>
      <c r="C591" s="104">
        <v>20000000</v>
      </c>
      <c r="D591" s="137">
        <f>5566536+4689911+689000+1874406</f>
        <v>12819853</v>
      </c>
      <c r="E591" s="30"/>
      <c r="F591" s="247"/>
      <c r="G591" s="30"/>
    </row>
    <row r="592" spans="1:7" s="31" customFormat="1">
      <c r="A592" s="21" t="s">
        <v>121</v>
      </c>
      <c r="B592" s="67"/>
      <c r="C592" s="61"/>
      <c r="D592" s="61"/>
      <c r="E592" s="30"/>
      <c r="F592" s="247"/>
      <c r="G592" s="30"/>
    </row>
    <row r="593" spans="1:7" s="31" customFormat="1" ht="19.5" thickBot="1">
      <c r="A593" s="29" t="s">
        <v>97</v>
      </c>
      <c r="B593" s="62"/>
      <c r="C593" s="34">
        <f>SUM(C591:C592)</f>
        <v>20000000</v>
      </c>
      <c r="D593" s="34">
        <f>SUM(D591:D592)</f>
        <v>12819853</v>
      </c>
      <c r="E593" s="30"/>
      <c r="F593" s="247"/>
      <c r="G593" s="30"/>
    </row>
    <row r="594" spans="1:7" s="31" customFormat="1" ht="19.5" thickTop="1">
      <c r="A594" s="7" t="s">
        <v>122</v>
      </c>
      <c r="B594" s="29">
        <v>44000000</v>
      </c>
      <c r="C594" s="80"/>
      <c r="D594" s="138"/>
      <c r="E594" s="30"/>
      <c r="F594" s="247"/>
      <c r="G594" s="30"/>
    </row>
    <row r="595" spans="1:7" s="31" customFormat="1">
      <c r="A595" s="7" t="s">
        <v>123</v>
      </c>
      <c r="B595" s="29">
        <v>44100000</v>
      </c>
      <c r="C595" s="136"/>
      <c r="D595" s="136"/>
      <c r="E595" s="30"/>
      <c r="F595" s="247"/>
      <c r="G595" s="30"/>
    </row>
    <row r="596" spans="1:7" s="31" customFormat="1">
      <c r="A596" s="21" t="s">
        <v>125</v>
      </c>
      <c r="B596" s="67">
        <v>44100001</v>
      </c>
      <c r="C596" s="103">
        <v>0</v>
      </c>
      <c r="D596" s="32">
        <v>40000</v>
      </c>
      <c r="E596" s="30"/>
      <c r="F596" s="247"/>
      <c r="G596" s="30"/>
    </row>
    <row r="597" spans="1:7" s="31" customFormat="1">
      <c r="A597" s="21" t="s">
        <v>124</v>
      </c>
      <c r="B597" s="67"/>
      <c r="C597" s="103"/>
      <c r="D597" s="24"/>
      <c r="E597" s="30"/>
      <c r="F597" s="247"/>
      <c r="G597" s="30"/>
    </row>
    <row r="598" spans="1:7" s="31" customFormat="1">
      <c r="A598" s="21" t="s">
        <v>126</v>
      </c>
      <c r="B598" s="25">
        <v>44100002</v>
      </c>
      <c r="C598" s="103">
        <v>0</v>
      </c>
      <c r="D598" s="24">
        <v>0</v>
      </c>
      <c r="E598" s="30"/>
      <c r="F598" s="247"/>
      <c r="G598" s="30"/>
    </row>
    <row r="599" spans="1:7" s="31" customFormat="1">
      <c r="A599" s="29" t="s">
        <v>97</v>
      </c>
      <c r="B599" s="67"/>
      <c r="C599" s="61">
        <f>SUM(C596:C598)</f>
        <v>0</v>
      </c>
      <c r="D599" s="61">
        <f>SUM(D596:D598)</f>
        <v>40000</v>
      </c>
      <c r="E599" s="30"/>
      <c r="F599" s="247"/>
      <c r="G599" s="30"/>
    </row>
    <row r="600" spans="1:7" s="31" customFormat="1" ht="19.5" thickBot="1">
      <c r="A600" s="65" t="s">
        <v>97</v>
      </c>
      <c r="B600" s="64"/>
      <c r="C600" s="34">
        <f>SUM(C552+C565+C568+C572+C584+C593+C599)</f>
        <v>36000000</v>
      </c>
      <c r="D600" s="34">
        <f>SUM(D552+D565+D568+D572+D584+D593+D599)</f>
        <v>23476895.050000004</v>
      </c>
      <c r="E600" s="30"/>
      <c r="F600" s="247"/>
      <c r="G600" s="34">
        <f>SUM(D600-D599)</f>
        <v>23436895.050000004</v>
      </c>
    </row>
    <row r="601" spans="1:7" s="31" customFormat="1" ht="19.5" thickTop="1">
      <c r="A601" s="250"/>
      <c r="B601" s="185"/>
      <c r="C601" s="74"/>
      <c r="D601" s="74"/>
      <c r="E601" s="30"/>
      <c r="F601" s="247"/>
      <c r="G601" s="30"/>
    </row>
    <row r="602" spans="1:7" s="31" customFormat="1">
      <c r="A602" s="250"/>
      <c r="B602" s="185"/>
      <c r="C602" s="74"/>
      <c r="D602" s="74"/>
      <c r="E602" s="30"/>
      <c r="F602" s="247"/>
      <c r="G602" s="30"/>
    </row>
    <row r="603" spans="1:7" s="31" customFormat="1">
      <c r="B603" s="185"/>
      <c r="C603" s="30"/>
      <c r="D603" s="30"/>
      <c r="E603" s="30"/>
      <c r="F603" s="247"/>
      <c r="G603" s="30"/>
    </row>
    <row r="604" spans="1:7" s="31" customFormat="1">
      <c r="B604" s="185"/>
      <c r="C604" s="30"/>
      <c r="D604" s="30"/>
      <c r="E604" s="30"/>
      <c r="F604" s="247"/>
      <c r="G604" s="30"/>
    </row>
    <row r="605" spans="1:7" s="31" customFormat="1">
      <c r="B605" s="185"/>
      <c r="C605" s="30"/>
      <c r="D605" s="30"/>
      <c r="E605" s="30"/>
      <c r="F605" s="247"/>
      <c r="G605" s="30"/>
    </row>
    <row r="606" spans="1:7" s="31" customFormat="1">
      <c r="B606" s="185"/>
      <c r="C606" s="30"/>
      <c r="D606" s="30"/>
      <c r="E606" s="30"/>
      <c r="F606" s="247"/>
      <c r="G606" s="30"/>
    </row>
    <row r="607" spans="1:7" s="31" customFormat="1">
      <c r="B607" s="185"/>
      <c r="C607" s="30"/>
      <c r="D607" s="30"/>
      <c r="E607" s="30"/>
      <c r="F607" s="247"/>
      <c r="G607" s="30"/>
    </row>
    <row r="608" spans="1:7" s="31" customFormat="1">
      <c r="B608" s="185"/>
      <c r="C608" s="30"/>
      <c r="D608" s="30"/>
      <c r="E608" s="30"/>
      <c r="F608" s="247"/>
      <c r="G608" s="30"/>
    </row>
    <row r="609" spans="1:7" s="31" customFormat="1">
      <c r="B609" s="185"/>
      <c r="C609" s="30"/>
      <c r="D609" s="30"/>
      <c r="E609" s="30"/>
      <c r="F609" s="247"/>
      <c r="G609" s="30"/>
    </row>
    <row r="610" spans="1:7" s="31" customFormat="1">
      <c r="B610" s="185"/>
      <c r="C610" s="30"/>
      <c r="D610" s="30"/>
      <c r="E610" s="30"/>
      <c r="F610" s="247"/>
      <c r="G610" s="30"/>
    </row>
    <row r="611" spans="1:7" s="31" customFormat="1">
      <c r="B611" s="185"/>
      <c r="C611" s="30"/>
      <c r="D611" s="30"/>
      <c r="E611" s="30"/>
      <c r="F611" s="247"/>
      <c r="G611" s="30"/>
    </row>
    <row r="612" spans="1:7" s="31" customFormat="1">
      <c r="A612" s="291"/>
      <c r="B612" s="185"/>
      <c r="C612" s="74"/>
      <c r="D612" s="78"/>
      <c r="E612" s="30"/>
      <c r="F612" s="247"/>
      <c r="G612" s="30"/>
    </row>
    <row r="613" spans="1:7" s="31" customFormat="1">
      <c r="B613" s="185"/>
      <c r="C613" s="30"/>
      <c r="D613" s="30"/>
      <c r="E613" s="30"/>
      <c r="F613" s="247"/>
      <c r="G613" s="30"/>
    </row>
    <row r="614" spans="1:7" s="31" customFormat="1" ht="21">
      <c r="A614" s="292"/>
      <c r="B614" s="77"/>
      <c r="C614" s="248"/>
      <c r="D614" s="249"/>
      <c r="E614" s="30"/>
      <c r="F614" s="247"/>
      <c r="G614" s="30"/>
    </row>
    <row r="615" spans="1:7" s="31" customFormat="1">
      <c r="A615" s="77"/>
      <c r="B615" s="77"/>
      <c r="C615" s="248"/>
      <c r="D615" s="248"/>
      <c r="E615" s="30"/>
      <c r="F615" s="247"/>
      <c r="G615" s="30"/>
    </row>
    <row r="616" spans="1:7" s="31" customFormat="1">
      <c r="A616" s="250"/>
      <c r="B616" s="291"/>
      <c r="C616" s="74"/>
      <c r="D616" s="78"/>
      <c r="E616" s="30"/>
      <c r="F616" s="247"/>
      <c r="G616" s="30"/>
    </row>
    <row r="617" spans="1:7" s="31" customFormat="1">
      <c r="A617" s="250"/>
      <c r="B617" s="291"/>
      <c r="C617" s="74"/>
      <c r="D617" s="74"/>
      <c r="E617" s="30"/>
      <c r="F617" s="247"/>
      <c r="G617" s="30"/>
    </row>
    <row r="618" spans="1:7" s="31" customFormat="1">
      <c r="B618" s="77"/>
      <c r="C618" s="30"/>
      <c r="D618" s="42"/>
      <c r="E618" s="30"/>
      <c r="F618" s="247"/>
      <c r="G618" s="30"/>
    </row>
    <row r="619" spans="1:7" s="31" customFormat="1">
      <c r="B619" s="77"/>
      <c r="C619" s="30"/>
      <c r="D619" s="42"/>
      <c r="E619" s="30"/>
      <c r="F619" s="247"/>
      <c r="G619" s="30"/>
    </row>
    <row r="620" spans="1:7" s="31" customFormat="1">
      <c r="B620" s="77"/>
      <c r="C620" s="74"/>
      <c r="D620" s="74"/>
      <c r="E620" s="30"/>
      <c r="F620" s="247"/>
      <c r="G620" s="30"/>
    </row>
    <row r="621" spans="1:7" s="31" customFormat="1">
      <c r="A621" s="291"/>
      <c r="B621" s="185"/>
      <c r="C621" s="74"/>
      <c r="D621" s="74"/>
      <c r="E621" s="30"/>
      <c r="F621" s="247"/>
      <c r="G621" s="30"/>
    </row>
    <row r="622" spans="1:7" s="31" customFormat="1">
      <c r="A622" s="250"/>
      <c r="B622" s="291"/>
      <c r="C622" s="74"/>
      <c r="D622" s="78"/>
      <c r="E622" s="30"/>
      <c r="F622" s="247"/>
      <c r="G622" s="30"/>
    </row>
    <row r="623" spans="1:7" s="31" customFormat="1">
      <c r="A623" s="250"/>
      <c r="B623" s="291"/>
      <c r="C623" s="74"/>
      <c r="D623" s="74"/>
      <c r="E623" s="30"/>
      <c r="F623" s="247"/>
      <c r="G623" s="30"/>
    </row>
    <row r="624" spans="1:7" s="31" customFormat="1">
      <c r="B624" s="77"/>
      <c r="C624" s="30"/>
      <c r="D624" s="42"/>
      <c r="E624" s="30"/>
      <c r="F624" s="247"/>
      <c r="G624" s="30"/>
    </row>
    <row r="625" spans="1:7" s="31" customFormat="1">
      <c r="B625" s="77"/>
      <c r="C625" s="30"/>
      <c r="D625" s="42"/>
      <c r="E625" s="30"/>
      <c r="F625" s="247"/>
      <c r="G625" s="30"/>
    </row>
    <row r="626" spans="1:7" s="31" customFormat="1">
      <c r="B626" s="77"/>
      <c r="C626" s="30"/>
      <c r="D626" s="42"/>
      <c r="E626" s="30"/>
      <c r="F626" s="247"/>
      <c r="G626" s="30"/>
    </row>
    <row r="627" spans="1:7" s="31" customFormat="1">
      <c r="A627" s="291"/>
      <c r="B627" s="77"/>
      <c r="C627" s="74"/>
      <c r="D627" s="74"/>
      <c r="E627" s="30"/>
      <c r="F627" s="247"/>
      <c r="G627" s="30"/>
    </row>
    <row r="628" spans="1:7" s="31" customFormat="1">
      <c r="A628" s="291"/>
      <c r="B628" s="185"/>
      <c r="C628" s="74"/>
      <c r="D628" s="74"/>
      <c r="E628" s="30"/>
      <c r="F628" s="247"/>
      <c r="G628" s="30"/>
    </row>
    <row r="629" spans="1:7" s="31" customFormat="1">
      <c r="B629" s="77"/>
      <c r="C629" s="30"/>
      <c r="D629" s="42"/>
      <c r="E629" s="30"/>
      <c r="F629" s="247"/>
      <c r="G629" s="30"/>
    </row>
    <row r="630" spans="1:7" s="31" customFormat="1">
      <c r="B630" s="77"/>
      <c r="C630" s="30"/>
      <c r="D630" s="42"/>
      <c r="E630" s="30"/>
      <c r="F630" s="247"/>
      <c r="G630" s="30"/>
    </row>
    <row r="631" spans="1:7" ht="21">
      <c r="A631" s="308" t="s">
        <v>106</v>
      </c>
      <c r="B631" s="308"/>
      <c r="C631" s="308"/>
      <c r="D631" s="308"/>
    </row>
    <row r="632" spans="1:7" ht="21">
      <c r="A632" s="308" t="s">
        <v>105</v>
      </c>
      <c r="B632" s="308"/>
      <c r="C632" s="308"/>
      <c r="D632" s="308"/>
    </row>
    <row r="633" spans="1:7" ht="21">
      <c r="A633" s="306" t="s">
        <v>364</v>
      </c>
      <c r="B633" s="306"/>
      <c r="C633" s="306"/>
      <c r="D633" s="306"/>
    </row>
    <row r="634" spans="1:7" ht="21">
      <c r="A634" s="53" t="s">
        <v>4</v>
      </c>
      <c r="B634" s="54" t="s">
        <v>16</v>
      </c>
      <c r="C634" s="55" t="s">
        <v>1</v>
      </c>
      <c r="D634" s="139" t="s">
        <v>2</v>
      </c>
    </row>
    <row r="635" spans="1:7">
      <c r="A635" s="56"/>
      <c r="B635" s="57" t="s">
        <v>17</v>
      </c>
      <c r="C635" s="58"/>
      <c r="D635" s="140"/>
    </row>
    <row r="636" spans="1:7">
      <c r="A636" s="59" t="s">
        <v>108</v>
      </c>
      <c r="B636" s="54">
        <v>41000000</v>
      </c>
      <c r="C636" s="68"/>
      <c r="D636" s="69"/>
    </row>
    <row r="637" spans="1:7">
      <c r="A637" s="7" t="s">
        <v>107</v>
      </c>
      <c r="B637" s="60">
        <v>41100000</v>
      </c>
      <c r="C637" s="136"/>
      <c r="D637" s="136"/>
    </row>
    <row r="638" spans="1:7">
      <c r="A638" s="135" t="s">
        <v>110</v>
      </c>
      <c r="B638" s="62">
        <v>41100001</v>
      </c>
      <c r="C638" s="26">
        <v>80000</v>
      </c>
      <c r="D638" s="32">
        <f>2552+27997+24384.88+14323.5+1078</f>
        <v>70335.38</v>
      </c>
    </row>
    <row r="639" spans="1:7">
      <c r="A639" s="135" t="s">
        <v>111</v>
      </c>
      <c r="B639" s="62">
        <v>41100002</v>
      </c>
      <c r="C639" s="26">
        <v>100000</v>
      </c>
      <c r="D639" s="32">
        <f>497.26+297.04+8757.04+32163.98+28360.74+1543.48</f>
        <v>71619.539999999994</v>
      </c>
    </row>
    <row r="640" spans="1:7">
      <c r="A640" s="135" t="s">
        <v>112</v>
      </c>
      <c r="B640" s="62">
        <v>41100003</v>
      </c>
      <c r="C640" s="103">
        <v>6000</v>
      </c>
      <c r="D640" s="32">
        <f>1600+4772+2640+816+612</f>
        <v>10440</v>
      </c>
    </row>
    <row r="641" spans="1:4">
      <c r="A641" s="135" t="s">
        <v>208</v>
      </c>
      <c r="B641" s="62">
        <v>41100004</v>
      </c>
      <c r="C641" s="104">
        <v>0</v>
      </c>
      <c r="D641" s="32">
        <v>0</v>
      </c>
    </row>
    <row r="642" spans="1:4" ht="19.5" thickBot="1">
      <c r="A642" s="29" t="s">
        <v>97</v>
      </c>
      <c r="B642" s="62"/>
      <c r="C642" s="34">
        <f>SUM(C638:C641)</f>
        <v>186000</v>
      </c>
      <c r="D642" s="34">
        <f>SUM(D638:D641)</f>
        <v>152394.91999999998</v>
      </c>
    </row>
    <row r="643" spans="1:4" ht="19.5" thickTop="1">
      <c r="A643" s="7" t="s">
        <v>109</v>
      </c>
      <c r="B643" s="60">
        <v>41200000</v>
      </c>
      <c r="C643" s="80"/>
      <c r="D643" s="80"/>
    </row>
    <row r="644" spans="1:4">
      <c r="A644" s="135" t="s">
        <v>167</v>
      </c>
      <c r="B644" s="62">
        <v>41210004</v>
      </c>
      <c r="C644" s="26">
        <v>1000</v>
      </c>
      <c r="D644" s="109">
        <f>0</f>
        <v>0</v>
      </c>
    </row>
    <row r="645" spans="1:4">
      <c r="A645" s="135" t="s">
        <v>168</v>
      </c>
      <c r="B645" s="62">
        <v>41210005</v>
      </c>
      <c r="C645" s="26">
        <v>2500</v>
      </c>
      <c r="D645" s="109">
        <f>0</f>
        <v>0</v>
      </c>
    </row>
    <row r="646" spans="1:4">
      <c r="A646" s="21" t="s">
        <v>169</v>
      </c>
      <c r="B646" s="62">
        <v>41210007</v>
      </c>
      <c r="C646" s="26">
        <v>1500</v>
      </c>
      <c r="D646" s="109">
        <f>82+151+56+334+100+154</f>
        <v>877</v>
      </c>
    </row>
    <row r="647" spans="1:4">
      <c r="A647" s="21" t="s">
        <v>170</v>
      </c>
      <c r="B647" s="62">
        <v>41210009</v>
      </c>
      <c r="C647" s="26">
        <v>10000</v>
      </c>
      <c r="D647" s="109">
        <f>0</f>
        <v>0</v>
      </c>
    </row>
    <row r="648" spans="1:4">
      <c r="A648" s="43" t="s">
        <v>171</v>
      </c>
      <c r="B648" s="62">
        <v>41210012</v>
      </c>
      <c r="C648" s="26">
        <v>200</v>
      </c>
      <c r="D648" s="109">
        <f>10+20+30+20</f>
        <v>80</v>
      </c>
    </row>
    <row r="649" spans="1:4">
      <c r="A649" s="21" t="s">
        <v>172</v>
      </c>
      <c r="B649" s="62">
        <v>41210029</v>
      </c>
      <c r="C649" s="26">
        <v>300</v>
      </c>
      <c r="D649" s="109">
        <f>20+170+140+50+100</f>
        <v>480</v>
      </c>
    </row>
    <row r="650" spans="1:4">
      <c r="A650" s="21" t="s">
        <v>173</v>
      </c>
      <c r="B650" s="62">
        <v>41220002</v>
      </c>
      <c r="C650" s="26">
        <v>2000</v>
      </c>
      <c r="D650" s="109">
        <f>200+600+400+100+500+700</f>
        <v>2500</v>
      </c>
    </row>
    <row r="651" spans="1:4">
      <c r="A651" s="21" t="s">
        <v>174</v>
      </c>
      <c r="B651" s="62">
        <v>41220010</v>
      </c>
      <c r="C651" s="26">
        <v>50000</v>
      </c>
      <c r="D651" s="109">
        <f>6230+13468</f>
        <v>19698</v>
      </c>
    </row>
    <row r="652" spans="1:4">
      <c r="A652" s="21" t="s">
        <v>175</v>
      </c>
      <c r="B652" s="62">
        <v>41230003</v>
      </c>
      <c r="C652" s="26">
        <v>40000</v>
      </c>
      <c r="D652" s="109">
        <f>11500+2500+1100+8100+3800+3080+720</f>
        <v>30800</v>
      </c>
    </row>
    <row r="653" spans="1:4">
      <c r="A653" s="21" t="s">
        <v>176</v>
      </c>
      <c r="B653" s="62">
        <v>41230007</v>
      </c>
      <c r="C653" s="103">
        <v>1000</v>
      </c>
      <c r="D653" s="109">
        <f>75+75+25+125+143+100</f>
        <v>543</v>
      </c>
    </row>
    <row r="654" spans="1:4">
      <c r="A654" s="21" t="s">
        <v>177</v>
      </c>
      <c r="B654" s="62">
        <v>41239999</v>
      </c>
      <c r="C654" s="104">
        <v>5000</v>
      </c>
      <c r="D654" s="109">
        <f>480+1080+600+2248+192</f>
        <v>4600</v>
      </c>
    </row>
    <row r="655" spans="1:4" ht="19.5" thickBot="1">
      <c r="A655" s="29" t="s">
        <v>97</v>
      </c>
      <c r="B655" s="62"/>
      <c r="C655" s="34">
        <f>SUM(C644:C654)</f>
        <v>113500</v>
      </c>
      <c r="D655" s="34">
        <f>SUM(D644:D654)</f>
        <v>59578</v>
      </c>
    </row>
    <row r="656" spans="1:4" ht="19.5" thickTop="1">
      <c r="A656" s="7" t="s">
        <v>113</v>
      </c>
      <c r="B656" s="60">
        <v>413000000</v>
      </c>
      <c r="C656" s="80"/>
      <c r="D656" s="80"/>
    </row>
    <row r="657" spans="1:7">
      <c r="A657" s="21" t="s">
        <v>24</v>
      </c>
      <c r="B657" s="62">
        <v>41300003</v>
      </c>
      <c r="C657" s="104">
        <v>100000</v>
      </c>
      <c r="D657" s="137">
        <f>53111.51+9626.17+5247.63</f>
        <v>67985.31</v>
      </c>
    </row>
    <row r="658" spans="1:7" ht="19.5" thickBot="1">
      <c r="A658" s="29" t="s">
        <v>97</v>
      </c>
      <c r="B658" s="62"/>
      <c r="C658" s="34">
        <f>SUM(C657)</f>
        <v>100000</v>
      </c>
      <c r="D658" s="34">
        <f>SUM(D657)</f>
        <v>67985.31</v>
      </c>
    </row>
    <row r="659" spans="1:7" s="31" customFormat="1" ht="19.5" thickTop="1">
      <c r="A659" s="7" t="s">
        <v>114</v>
      </c>
      <c r="B659" s="60">
        <v>41500000</v>
      </c>
      <c r="C659" s="80"/>
      <c r="D659" s="80"/>
      <c r="E659" s="30"/>
      <c r="F659" s="247"/>
      <c r="G659" s="30"/>
    </row>
    <row r="660" spans="1:7" s="31" customFormat="1">
      <c r="A660" s="21" t="s">
        <v>41</v>
      </c>
      <c r="B660" s="62">
        <v>41500004</v>
      </c>
      <c r="C660" s="26">
        <v>10000</v>
      </c>
      <c r="D660" s="32">
        <f>2000+15000+1500</f>
        <v>18500</v>
      </c>
      <c r="E660" s="30"/>
      <c r="F660" s="247"/>
      <c r="G660" s="30"/>
    </row>
    <row r="661" spans="1:7" s="31" customFormat="1">
      <c r="A661" s="21" t="s">
        <v>138</v>
      </c>
      <c r="B661" s="62">
        <v>41599999</v>
      </c>
      <c r="C661" s="134">
        <v>500</v>
      </c>
      <c r="D661" s="71">
        <f>296+28+11300</f>
        <v>11624</v>
      </c>
      <c r="E661" s="30"/>
      <c r="F661" s="247"/>
      <c r="G661" s="30"/>
    </row>
    <row r="662" spans="1:7" s="31" customFormat="1" ht="19.5" thickBot="1">
      <c r="A662" s="29" t="s">
        <v>97</v>
      </c>
      <c r="B662" s="62"/>
      <c r="C662" s="34">
        <f>SUM(C660:C661)</f>
        <v>10500</v>
      </c>
      <c r="D662" s="34">
        <f>SUM(D660:D661)</f>
        <v>30124</v>
      </c>
      <c r="E662" s="30"/>
      <c r="F662" s="247"/>
      <c r="G662" s="30"/>
    </row>
    <row r="663" spans="1:7" s="31" customFormat="1" ht="19.5" thickTop="1">
      <c r="A663" s="7" t="s">
        <v>115</v>
      </c>
      <c r="B663" s="62">
        <v>42000000</v>
      </c>
      <c r="C663" s="80"/>
      <c r="D663" s="80"/>
      <c r="E663" s="30"/>
      <c r="F663" s="247"/>
      <c r="G663" s="30"/>
    </row>
    <row r="664" spans="1:7" s="31" customFormat="1">
      <c r="A664" s="7" t="s">
        <v>116</v>
      </c>
      <c r="B664" s="62">
        <v>42100000</v>
      </c>
      <c r="C664" s="136"/>
      <c r="D664" s="136"/>
      <c r="E664" s="30"/>
      <c r="F664" s="247"/>
      <c r="G664" s="30"/>
    </row>
    <row r="665" spans="1:7" s="31" customFormat="1">
      <c r="A665" s="21" t="s">
        <v>139</v>
      </c>
      <c r="B665" s="62">
        <v>42100001</v>
      </c>
      <c r="C665" s="26">
        <v>1000000</v>
      </c>
      <c r="D665" s="26">
        <f>99258.32+36736.64+36835.18+56196.76+48058.45+46580.88+54273.82</f>
        <v>377940.05000000005</v>
      </c>
      <c r="E665" s="30"/>
      <c r="F665" s="247"/>
      <c r="G665" s="30"/>
    </row>
    <row r="666" spans="1:7" s="31" customFormat="1">
      <c r="A666" s="21" t="s">
        <v>140</v>
      </c>
      <c r="B666" s="62">
        <v>42100002</v>
      </c>
      <c r="C666" s="26">
        <v>8000000</v>
      </c>
      <c r="D666" s="26">
        <f>1637456.38+809734.13+579396.58+789317.83+765984.95+795581.45+745038.36</f>
        <v>6122509.6800000006</v>
      </c>
      <c r="E666" s="30"/>
      <c r="F666" s="247"/>
      <c r="G666" s="30"/>
    </row>
    <row r="667" spans="1:7" s="31" customFormat="1">
      <c r="A667" s="21" t="s">
        <v>141</v>
      </c>
      <c r="B667" s="62">
        <v>42100004</v>
      </c>
      <c r="C667" s="26">
        <v>2500000</v>
      </c>
      <c r="D667" s="26">
        <f>329074.09+218802.95+192322.52+201691.06+218450.15+233138.62+162471.98</f>
        <v>1555951.37</v>
      </c>
      <c r="E667" s="30"/>
      <c r="F667" s="247"/>
      <c r="G667" s="30"/>
    </row>
    <row r="668" spans="1:7" s="31" customFormat="1">
      <c r="A668" s="21" t="s">
        <v>142</v>
      </c>
      <c r="B668" s="62">
        <v>42100005</v>
      </c>
      <c r="C668" s="103">
        <v>100000</v>
      </c>
      <c r="D668" s="103">
        <f>21094.12+10100.82+10401.84+27032.14+9776.03</f>
        <v>78404.95</v>
      </c>
      <c r="E668" s="30"/>
      <c r="F668" s="247"/>
      <c r="G668" s="30"/>
    </row>
    <row r="669" spans="1:7" s="31" customFormat="1">
      <c r="A669" s="21" t="s">
        <v>143</v>
      </c>
      <c r="B669" s="62">
        <v>42100006</v>
      </c>
      <c r="C669" s="26">
        <v>0</v>
      </c>
      <c r="D669" s="26">
        <v>0</v>
      </c>
      <c r="E669" s="30"/>
      <c r="F669" s="247"/>
      <c r="G669" s="30"/>
    </row>
    <row r="670" spans="1:7" s="31" customFormat="1">
      <c r="A670" s="21" t="s">
        <v>144</v>
      </c>
      <c r="B670" s="62">
        <v>42100007</v>
      </c>
      <c r="C670" s="26">
        <v>3410000</v>
      </c>
      <c r="D670" s="26">
        <f>742770.21+416564.3+384550.04+476303.7+393534.17+439961.66+413855.79</f>
        <v>3267539.87</v>
      </c>
      <c r="E670" s="30"/>
      <c r="F670" s="247"/>
      <c r="G670" s="30"/>
    </row>
    <row r="671" spans="1:7" s="31" customFormat="1">
      <c r="A671" s="21" t="s">
        <v>145</v>
      </c>
      <c r="B671" s="62">
        <v>42100012</v>
      </c>
      <c r="C671" s="26">
        <v>80000</v>
      </c>
      <c r="D671" s="26">
        <f>18106.79+16090.85</f>
        <v>34197.64</v>
      </c>
      <c r="E671" s="30"/>
      <c r="F671" s="247"/>
      <c r="G671" s="30"/>
    </row>
    <row r="672" spans="1:7" s="31" customFormat="1">
      <c r="A672" s="21" t="s">
        <v>146</v>
      </c>
      <c r="B672" s="62">
        <v>42100013</v>
      </c>
      <c r="C672" s="26">
        <v>50000</v>
      </c>
      <c r="D672" s="26">
        <f>11585.92+10432.8+10436.83</f>
        <v>32455.550000000003</v>
      </c>
      <c r="E672" s="30"/>
      <c r="F672" s="247"/>
      <c r="G672" s="30"/>
    </row>
    <row r="673" spans="1:7" s="31" customFormat="1">
      <c r="A673" s="21" t="s">
        <v>147</v>
      </c>
      <c r="B673" s="62">
        <v>42100015</v>
      </c>
      <c r="C673" s="134">
        <v>450000</v>
      </c>
      <c r="D673" s="26">
        <f>87504+19696+11232+53156+38830+41415+79881</f>
        <v>331714</v>
      </c>
      <c r="E673" s="30"/>
      <c r="F673" s="247"/>
      <c r="G673" s="30"/>
    </row>
    <row r="674" spans="1:7" s="31" customFormat="1">
      <c r="A674" s="65" t="s">
        <v>97</v>
      </c>
      <c r="B674" s="64"/>
      <c r="C674" s="61">
        <f>SUM(C665:C673)</f>
        <v>15590000</v>
      </c>
      <c r="D674" s="66">
        <f>SUM(D665:D673)</f>
        <v>11800713.110000003</v>
      </c>
      <c r="E674" s="30"/>
      <c r="F674" s="247"/>
      <c r="G674" s="30"/>
    </row>
    <row r="675" spans="1:7" s="31" customFormat="1">
      <c r="A675" s="213"/>
      <c r="B675" s="146"/>
      <c r="C675" s="85"/>
      <c r="D675" s="85"/>
      <c r="E675" s="30"/>
      <c r="F675" s="247"/>
      <c r="G675" s="30"/>
    </row>
    <row r="676" spans="1:7" s="31" customFormat="1" ht="21">
      <c r="A676" s="53" t="s">
        <v>4</v>
      </c>
      <c r="B676" s="54" t="s">
        <v>16</v>
      </c>
      <c r="C676" s="55" t="s">
        <v>1</v>
      </c>
      <c r="D676" s="139" t="s">
        <v>2</v>
      </c>
      <c r="E676" s="30"/>
      <c r="F676" s="247"/>
      <c r="G676" s="30"/>
    </row>
    <row r="677" spans="1:7" s="31" customFormat="1">
      <c r="A677" s="56"/>
      <c r="B677" s="57" t="s">
        <v>17</v>
      </c>
      <c r="C677" s="58"/>
      <c r="D677" s="140"/>
      <c r="E677" s="30"/>
      <c r="F677" s="247"/>
      <c r="G677" s="30"/>
    </row>
    <row r="678" spans="1:7" s="31" customFormat="1">
      <c r="A678" s="7" t="s">
        <v>117</v>
      </c>
      <c r="B678" s="29">
        <v>43000000</v>
      </c>
      <c r="C678" s="80"/>
      <c r="D678" s="138"/>
      <c r="E678" s="30"/>
      <c r="F678" s="247"/>
      <c r="G678" s="30"/>
    </row>
    <row r="679" spans="1:7" s="31" customFormat="1">
      <c r="A679" s="7" t="s">
        <v>118</v>
      </c>
      <c r="B679" s="29">
        <v>43100000</v>
      </c>
      <c r="C679" s="136"/>
      <c r="D679" s="136"/>
      <c r="E679" s="30"/>
      <c r="F679" s="247"/>
      <c r="G679" s="30"/>
    </row>
    <row r="680" spans="1:7" s="31" customFormat="1">
      <c r="A680" s="21" t="s">
        <v>119</v>
      </c>
      <c r="B680" s="67">
        <v>43100001</v>
      </c>
      <c r="C680" s="26"/>
      <c r="D680" s="32"/>
      <c r="E680" s="30"/>
      <c r="F680" s="247"/>
      <c r="G680" s="30"/>
    </row>
    <row r="681" spans="1:7" s="31" customFormat="1">
      <c r="A681" s="21" t="s">
        <v>120</v>
      </c>
      <c r="B681" s="67">
        <v>43100002</v>
      </c>
      <c r="C681" s="104">
        <v>20000000</v>
      </c>
      <c r="D681" s="137">
        <f>5566536+4689911+689000+1874406+1961640</f>
        <v>14781493</v>
      </c>
      <c r="E681" s="30"/>
      <c r="F681" s="247"/>
      <c r="G681" s="30"/>
    </row>
    <row r="682" spans="1:7" s="31" customFormat="1">
      <c r="A682" s="21" t="s">
        <v>121</v>
      </c>
      <c r="B682" s="67"/>
      <c r="C682" s="61"/>
      <c r="D682" s="61"/>
      <c r="E682" s="30"/>
      <c r="F682" s="247"/>
      <c r="G682" s="30"/>
    </row>
    <row r="683" spans="1:7" s="31" customFormat="1" ht="19.5" thickBot="1">
      <c r="A683" s="29" t="s">
        <v>97</v>
      </c>
      <c r="B683" s="62"/>
      <c r="C683" s="34">
        <f>SUM(C681:C682)</f>
        <v>20000000</v>
      </c>
      <c r="D683" s="34">
        <f>SUM(D681:D682)</f>
        <v>14781493</v>
      </c>
      <c r="E683" s="30"/>
      <c r="F683" s="247"/>
      <c r="G683" s="30"/>
    </row>
    <row r="684" spans="1:7" s="31" customFormat="1" ht="19.5" thickTop="1">
      <c r="A684" s="7" t="s">
        <v>122</v>
      </c>
      <c r="B684" s="29">
        <v>44000000</v>
      </c>
      <c r="C684" s="80"/>
      <c r="D684" s="138"/>
      <c r="E684" s="30"/>
      <c r="F684" s="247"/>
      <c r="G684" s="30"/>
    </row>
    <row r="685" spans="1:7" s="31" customFormat="1">
      <c r="A685" s="7" t="s">
        <v>123</v>
      </c>
      <c r="B685" s="29">
        <v>44100000</v>
      </c>
      <c r="C685" s="136"/>
      <c r="D685" s="136"/>
      <c r="E685" s="30"/>
      <c r="F685" s="247"/>
      <c r="G685" s="30"/>
    </row>
    <row r="686" spans="1:7" s="31" customFormat="1">
      <c r="A686" s="21" t="s">
        <v>125</v>
      </c>
      <c r="B686" s="67">
        <v>44100001</v>
      </c>
      <c r="C686" s="103">
        <v>0</v>
      </c>
      <c r="D686" s="32">
        <v>40000</v>
      </c>
      <c r="E686" s="30"/>
      <c r="F686" s="247"/>
      <c r="G686" s="30"/>
    </row>
    <row r="687" spans="1:7" s="31" customFormat="1">
      <c r="A687" s="21" t="s">
        <v>124</v>
      </c>
      <c r="B687" s="67"/>
      <c r="C687" s="103"/>
      <c r="D687" s="24"/>
      <c r="E687" s="30"/>
      <c r="F687" s="247"/>
      <c r="G687" s="30"/>
    </row>
    <row r="688" spans="1:7" s="31" customFormat="1">
      <c r="A688" s="21" t="s">
        <v>126</v>
      </c>
      <c r="B688" s="25">
        <v>44100002</v>
      </c>
      <c r="C688" s="103">
        <v>0</v>
      </c>
      <c r="D688" s="24">
        <v>0</v>
      </c>
      <c r="E688" s="30"/>
      <c r="F688" s="247"/>
      <c r="G688" s="30"/>
    </row>
    <row r="689" spans="1:7" s="31" customFormat="1">
      <c r="A689" s="29" t="s">
        <v>97</v>
      </c>
      <c r="B689" s="67"/>
      <c r="C689" s="61">
        <f>SUM(C686:C688)</f>
        <v>0</v>
      </c>
      <c r="D689" s="61">
        <f>SUM(D686:D688)</f>
        <v>40000</v>
      </c>
      <c r="E689" s="30"/>
      <c r="F689" s="247"/>
      <c r="G689" s="30"/>
    </row>
    <row r="690" spans="1:7" s="31" customFormat="1" ht="19.5" thickBot="1">
      <c r="A690" s="65" t="s">
        <v>97</v>
      </c>
      <c r="B690" s="64"/>
      <c r="C690" s="34">
        <f>SUM(C642+C655+C658+C662+C674+C683+C689)</f>
        <v>36000000</v>
      </c>
      <c r="D690" s="34">
        <f>SUM(D642+D655+D658+D662+D674+D683+D689)</f>
        <v>26932288.340000004</v>
      </c>
      <c r="E690" s="30"/>
      <c r="F690" s="247"/>
      <c r="G690" s="34">
        <f>SUM(D690-D689)</f>
        <v>26892288.340000004</v>
      </c>
    </row>
    <row r="691" spans="1:7" s="31" customFormat="1" ht="19.5" thickTop="1">
      <c r="A691" s="250"/>
      <c r="B691" s="185"/>
      <c r="C691" s="74"/>
      <c r="D691" s="74"/>
      <c r="E691" s="30"/>
      <c r="F691" s="247"/>
      <c r="G691" s="30"/>
    </row>
    <row r="692" spans="1:7" s="31" customFormat="1">
      <c r="A692" s="250"/>
      <c r="B692" s="185"/>
      <c r="C692" s="74"/>
      <c r="D692" s="74"/>
      <c r="E692" s="30"/>
      <c r="F692" s="247"/>
      <c r="G692" s="30"/>
    </row>
    <row r="693" spans="1:7" s="31" customFormat="1">
      <c r="B693" s="185"/>
      <c r="C693" s="30"/>
      <c r="D693" s="30"/>
      <c r="E693" s="30"/>
      <c r="F693" s="247"/>
      <c r="G693" s="30"/>
    </row>
    <row r="694" spans="1:7" s="31" customFormat="1">
      <c r="B694" s="185"/>
      <c r="C694" s="30"/>
      <c r="D694" s="30"/>
      <c r="E694" s="30"/>
      <c r="F694" s="247"/>
      <c r="G694" s="30"/>
    </row>
    <row r="695" spans="1:7" s="31" customFormat="1">
      <c r="B695" s="185"/>
      <c r="C695" s="30"/>
      <c r="D695" s="30"/>
      <c r="E695" s="30"/>
      <c r="F695" s="247"/>
      <c r="G695" s="30"/>
    </row>
    <row r="696" spans="1:7" s="31" customFormat="1">
      <c r="B696" s="185"/>
      <c r="C696" s="30"/>
      <c r="D696" s="30"/>
      <c r="E696" s="30"/>
      <c r="F696" s="247"/>
      <c r="G696" s="30"/>
    </row>
    <row r="697" spans="1:7" s="31" customFormat="1">
      <c r="B697" s="185"/>
      <c r="C697" s="30"/>
      <c r="D697" s="30"/>
      <c r="E697" s="30"/>
      <c r="F697" s="247"/>
      <c r="G697" s="30"/>
    </row>
    <row r="698" spans="1:7" s="31" customFormat="1">
      <c r="B698" s="185"/>
      <c r="C698" s="30"/>
      <c r="D698" s="30"/>
      <c r="E698" s="30"/>
      <c r="F698" s="247"/>
      <c r="G698" s="30"/>
    </row>
    <row r="699" spans="1:7" s="31" customFormat="1">
      <c r="B699" s="185"/>
      <c r="C699" s="30"/>
      <c r="D699" s="30"/>
      <c r="E699" s="30"/>
      <c r="F699" s="247"/>
      <c r="G699" s="30"/>
    </row>
    <row r="700" spans="1:7" s="31" customFormat="1">
      <c r="B700" s="185"/>
      <c r="C700" s="30"/>
      <c r="D700" s="30"/>
      <c r="E700" s="30"/>
      <c r="F700" s="247"/>
      <c r="G700" s="30"/>
    </row>
    <row r="701" spans="1:7" s="31" customFormat="1">
      <c r="B701" s="185"/>
      <c r="C701" s="30"/>
      <c r="D701" s="30"/>
      <c r="E701" s="30"/>
      <c r="F701" s="247"/>
      <c r="G701" s="30"/>
    </row>
    <row r="702" spans="1:7" s="31" customFormat="1">
      <c r="A702" s="297"/>
      <c r="B702" s="185"/>
      <c r="C702" s="74"/>
      <c r="D702" s="78"/>
      <c r="E702" s="30"/>
      <c r="F702" s="247"/>
      <c r="G702" s="30"/>
    </row>
    <row r="703" spans="1:7" s="31" customFormat="1">
      <c r="B703" s="185"/>
      <c r="C703" s="30"/>
      <c r="D703" s="30"/>
      <c r="E703" s="30"/>
      <c r="F703" s="247"/>
      <c r="G703" s="30"/>
    </row>
    <row r="704" spans="1:7" s="31" customFormat="1" ht="21">
      <c r="A704" s="299"/>
      <c r="B704" s="77"/>
      <c r="C704" s="248"/>
      <c r="D704" s="249"/>
      <c r="E704" s="30"/>
      <c r="F704" s="247"/>
      <c r="G704" s="30"/>
    </row>
    <row r="705" spans="1:7" s="31" customFormat="1">
      <c r="A705" s="77"/>
      <c r="B705" s="77"/>
      <c r="C705" s="248"/>
      <c r="D705" s="248"/>
      <c r="E705" s="30"/>
      <c r="F705" s="247"/>
      <c r="G705" s="30"/>
    </row>
    <row r="706" spans="1:7" s="31" customFormat="1">
      <c r="A706" s="250"/>
      <c r="B706" s="297"/>
      <c r="C706" s="74"/>
      <c r="D706" s="78"/>
      <c r="E706" s="30"/>
      <c r="F706" s="247"/>
      <c r="G706" s="30"/>
    </row>
    <row r="707" spans="1:7" s="31" customFormat="1">
      <c r="A707" s="250"/>
      <c r="B707" s="297"/>
      <c r="C707" s="74"/>
      <c r="D707" s="74"/>
      <c r="E707" s="30"/>
      <c r="F707" s="247"/>
      <c r="G707" s="30"/>
    </row>
    <row r="708" spans="1:7" s="31" customFormat="1">
      <c r="B708" s="77"/>
      <c r="C708" s="30"/>
      <c r="D708" s="42"/>
      <c r="E708" s="30"/>
      <c r="F708" s="247"/>
      <c r="G708" s="30"/>
    </row>
    <row r="709" spans="1:7" s="31" customFormat="1">
      <c r="B709" s="77"/>
      <c r="C709" s="30"/>
      <c r="D709" s="42"/>
      <c r="E709" s="30"/>
      <c r="F709" s="247"/>
      <c r="G709" s="30"/>
    </row>
    <row r="710" spans="1:7" s="31" customFormat="1">
      <c r="B710" s="77"/>
      <c r="C710" s="74"/>
      <c r="D710" s="74"/>
      <c r="E710" s="30"/>
      <c r="F710" s="247"/>
      <c r="G710" s="30"/>
    </row>
    <row r="711" spans="1:7" s="31" customFormat="1">
      <c r="A711" s="297"/>
      <c r="B711" s="185"/>
      <c r="C711" s="74"/>
      <c r="D711" s="74"/>
      <c r="E711" s="30"/>
      <c r="F711" s="247"/>
      <c r="G711" s="30"/>
    </row>
    <row r="712" spans="1:7" s="31" customFormat="1">
      <c r="A712" s="250"/>
      <c r="B712" s="297"/>
      <c r="C712" s="74"/>
      <c r="D712" s="78"/>
      <c r="E712" s="30"/>
      <c r="F712" s="247"/>
      <c r="G712" s="30"/>
    </row>
    <row r="713" spans="1:7" s="31" customFormat="1">
      <c r="A713" s="250"/>
      <c r="B713" s="297"/>
      <c r="C713" s="74"/>
      <c r="D713" s="74"/>
      <c r="E713" s="30"/>
      <c r="F713" s="247"/>
      <c r="G713" s="30"/>
    </row>
    <row r="714" spans="1:7" s="31" customFormat="1">
      <c r="B714" s="77"/>
      <c r="C714" s="30"/>
      <c r="D714" s="42"/>
      <c r="E714" s="30"/>
      <c r="F714" s="247"/>
      <c r="G714" s="30"/>
    </row>
    <row r="715" spans="1:7" s="31" customFormat="1">
      <c r="B715" s="77"/>
      <c r="C715" s="30"/>
      <c r="D715" s="42"/>
      <c r="E715" s="30"/>
      <c r="F715" s="247"/>
      <c r="G715" s="30"/>
    </row>
    <row r="716" spans="1:7" s="31" customFormat="1">
      <c r="B716" s="77"/>
      <c r="C716" s="30"/>
      <c r="D716" s="42"/>
      <c r="E716" s="30"/>
      <c r="F716" s="247"/>
      <c r="G716" s="30"/>
    </row>
    <row r="717" spans="1:7" s="31" customFormat="1">
      <c r="A717" s="297"/>
      <c r="B717" s="77"/>
      <c r="C717" s="74"/>
      <c r="D717" s="74"/>
      <c r="E717" s="30"/>
      <c r="F717" s="247"/>
      <c r="G717" s="30"/>
    </row>
    <row r="718" spans="1:7" s="31" customFormat="1">
      <c r="A718" s="297"/>
      <c r="B718" s="185"/>
      <c r="C718" s="74"/>
      <c r="D718" s="74"/>
      <c r="E718" s="30"/>
      <c r="F718" s="247"/>
      <c r="G718" s="30"/>
    </row>
    <row r="719" spans="1:7" s="31" customFormat="1">
      <c r="B719" s="77"/>
      <c r="C719" s="30"/>
      <c r="D719" s="42"/>
      <c r="E719" s="30"/>
      <c r="F719" s="247"/>
      <c r="G719" s="30"/>
    </row>
    <row r="720" spans="1:7" s="31" customFormat="1">
      <c r="B720" s="77"/>
      <c r="C720" s="30"/>
      <c r="D720" s="42"/>
      <c r="E720" s="30"/>
      <c r="F720" s="247"/>
      <c r="G720" s="30"/>
    </row>
    <row r="721" spans="2:7" s="31" customFormat="1">
      <c r="B721" s="77"/>
      <c r="C721" s="30"/>
      <c r="D721" s="42"/>
      <c r="E721" s="30"/>
      <c r="F721" s="247"/>
      <c r="G721" s="30"/>
    </row>
    <row r="722" spans="2:7" s="31" customFormat="1">
      <c r="B722" s="77"/>
      <c r="C722" s="30"/>
      <c r="D722" s="42"/>
      <c r="E722" s="30"/>
      <c r="F722" s="247"/>
      <c r="G722" s="30"/>
    </row>
    <row r="723" spans="2:7" s="31" customFormat="1">
      <c r="B723" s="77"/>
      <c r="C723" s="30"/>
      <c r="D723" s="42"/>
      <c r="E723" s="30"/>
      <c r="F723" s="247"/>
      <c r="G723" s="30"/>
    </row>
    <row r="724" spans="2:7" s="31" customFormat="1">
      <c r="B724" s="77"/>
      <c r="C724" s="30"/>
      <c r="D724" s="42"/>
      <c r="E724" s="30"/>
      <c r="F724" s="247"/>
      <c r="G724" s="30"/>
    </row>
    <row r="725" spans="2:7" s="31" customFormat="1">
      <c r="B725" s="77"/>
      <c r="C725" s="30"/>
      <c r="D725" s="42"/>
      <c r="E725" s="30"/>
      <c r="F725" s="247"/>
      <c r="G725" s="30"/>
    </row>
    <row r="726" spans="2:7" s="31" customFormat="1">
      <c r="B726" s="77"/>
      <c r="C726" s="30"/>
      <c r="D726" s="42"/>
      <c r="E726" s="30"/>
      <c r="F726" s="247"/>
      <c r="G726" s="30"/>
    </row>
    <row r="727" spans="2:7" s="31" customFormat="1">
      <c r="B727" s="77"/>
      <c r="C727" s="30"/>
      <c r="D727" s="42"/>
      <c r="E727" s="30"/>
      <c r="F727" s="247"/>
      <c r="G727" s="30"/>
    </row>
    <row r="728" spans="2:7" s="31" customFormat="1">
      <c r="B728" s="77"/>
      <c r="C728" s="30"/>
      <c r="D728" s="42"/>
      <c r="E728" s="30"/>
      <c r="F728" s="247"/>
      <c r="G728" s="30"/>
    </row>
    <row r="729" spans="2:7" s="31" customFormat="1">
      <c r="B729" s="77"/>
      <c r="C729" s="30"/>
      <c r="D729" s="42"/>
      <c r="E729" s="30"/>
      <c r="F729" s="247"/>
      <c r="G729" s="30"/>
    </row>
    <row r="730" spans="2:7" s="31" customFormat="1">
      <c r="B730" s="77"/>
      <c r="C730" s="30"/>
      <c r="D730" s="42"/>
      <c r="E730" s="30"/>
      <c r="F730" s="247"/>
      <c r="G730" s="30"/>
    </row>
    <row r="731" spans="2:7" s="31" customFormat="1">
      <c r="B731" s="77"/>
      <c r="C731" s="30"/>
      <c r="D731" s="42"/>
      <c r="E731" s="30"/>
      <c r="F731" s="247"/>
      <c r="G731" s="30"/>
    </row>
    <row r="732" spans="2:7" s="31" customFormat="1">
      <c r="B732" s="77"/>
      <c r="C732" s="30"/>
      <c r="D732" s="42"/>
      <c r="E732" s="30"/>
      <c r="F732" s="247"/>
      <c r="G732" s="30"/>
    </row>
    <row r="733" spans="2:7" s="31" customFormat="1">
      <c r="B733" s="77"/>
      <c r="C733" s="30"/>
      <c r="D733" s="42"/>
      <c r="E733" s="30"/>
      <c r="F733" s="247"/>
      <c r="G733" s="30"/>
    </row>
    <row r="734" spans="2:7" s="31" customFormat="1">
      <c r="B734" s="77"/>
      <c r="C734" s="30"/>
      <c r="D734" s="42"/>
      <c r="E734" s="30"/>
      <c r="F734" s="247"/>
      <c r="G734" s="30"/>
    </row>
    <row r="735" spans="2:7" s="31" customFormat="1">
      <c r="B735" s="77"/>
      <c r="C735" s="30"/>
      <c r="D735" s="42"/>
      <c r="E735" s="30"/>
      <c r="F735" s="247"/>
      <c r="G735" s="30"/>
    </row>
    <row r="736" spans="2:7" s="31" customFormat="1">
      <c r="B736" s="77"/>
      <c r="C736" s="30"/>
      <c r="D736" s="42"/>
      <c r="E736" s="30"/>
      <c r="F736" s="247"/>
      <c r="G736" s="30"/>
    </row>
    <row r="737" spans="1:7" s="31" customFormat="1">
      <c r="B737" s="77"/>
      <c r="C737" s="30"/>
      <c r="D737" s="42"/>
      <c r="E737" s="30"/>
      <c r="F737" s="247"/>
      <c r="G737" s="30"/>
    </row>
    <row r="738" spans="1:7" s="31" customFormat="1">
      <c r="B738" s="77"/>
      <c r="C738" s="30"/>
      <c r="D738" s="42"/>
      <c r="E738" s="30"/>
      <c r="F738" s="247"/>
      <c r="G738" s="30"/>
    </row>
    <row r="739" spans="1:7" s="31" customFormat="1">
      <c r="B739" s="77"/>
      <c r="C739" s="30"/>
      <c r="D739" s="42"/>
      <c r="E739" s="30"/>
      <c r="F739" s="247"/>
      <c r="G739" s="30"/>
    </row>
    <row r="740" spans="1:7" s="31" customFormat="1">
      <c r="B740" s="77"/>
      <c r="C740" s="30"/>
      <c r="D740" s="42"/>
      <c r="E740" s="30"/>
      <c r="F740" s="247"/>
      <c r="G740" s="30"/>
    </row>
    <row r="741" spans="1:7" s="31" customFormat="1">
      <c r="B741" s="77"/>
      <c r="C741" s="30"/>
      <c r="D741" s="42"/>
      <c r="E741" s="30"/>
      <c r="F741" s="247"/>
      <c r="G741" s="30"/>
    </row>
    <row r="742" spans="1:7" s="31" customFormat="1">
      <c r="B742" s="77"/>
      <c r="C742" s="30"/>
      <c r="D742" s="42"/>
      <c r="E742" s="30"/>
      <c r="F742" s="247"/>
      <c r="G742" s="30"/>
    </row>
    <row r="743" spans="1:7" s="31" customFormat="1">
      <c r="B743" s="77"/>
      <c r="C743" s="30"/>
      <c r="D743" s="42"/>
      <c r="E743" s="30"/>
      <c r="F743" s="247"/>
      <c r="G743" s="30"/>
    </row>
    <row r="744" spans="1:7" s="31" customFormat="1">
      <c r="B744" s="77"/>
      <c r="C744" s="30"/>
      <c r="D744" s="42"/>
      <c r="E744" s="30"/>
      <c r="F744" s="247"/>
      <c r="G744" s="30"/>
    </row>
    <row r="745" spans="1:7" s="31" customFormat="1">
      <c r="B745" s="77"/>
      <c r="C745" s="30"/>
      <c r="D745" s="42"/>
      <c r="E745" s="30"/>
      <c r="F745" s="247"/>
      <c r="G745" s="30"/>
    </row>
    <row r="746" spans="1:7" s="31" customFormat="1">
      <c r="B746" s="77"/>
      <c r="C746" s="30"/>
      <c r="D746" s="42"/>
      <c r="E746" s="30"/>
      <c r="F746" s="247"/>
      <c r="G746" s="30"/>
    </row>
    <row r="747" spans="1:7" s="31" customFormat="1">
      <c r="B747" s="77"/>
      <c r="C747" s="30"/>
      <c r="D747" s="42"/>
      <c r="E747" s="30"/>
      <c r="F747" s="247"/>
      <c r="G747" s="30"/>
    </row>
    <row r="748" spans="1:7" s="31" customFormat="1">
      <c r="B748" s="77"/>
      <c r="C748" s="30"/>
      <c r="D748" s="42"/>
      <c r="E748" s="30"/>
      <c r="F748" s="247"/>
      <c r="G748" s="30"/>
    </row>
    <row r="749" spans="1:7" s="31" customFormat="1" ht="21">
      <c r="A749" s="307"/>
      <c r="B749" s="307"/>
      <c r="C749" s="307"/>
      <c r="D749" s="307"/>
      <c r="E749" s="30"/>
      <c r="F749" s="247"/>
      <c r="G749" s="30"/>
    </row>
    <row r="750" spans="1:7" s="31" customFormat="1" ht="21">
      <c r="A750" s="307"/>
      <c r="B750" s="307"/>
      <c r="C750" s="307"/>
      <c r="D750" s="307"/>
      <c r="E750" s="30"/>
      <c r="F750" s="247"/>
      <c r="G750" s="30"/>
    </row>
    <row r="751" spans="1:7" s="31" customFormat="1" ht="21">
      <c r="A751" s="307"/>
      <c r="B751" s="307"/>
      <c r="C751" s="307"/>
      <c r="D751" s="307"/>
      <c r="E751" s="30"/>
      <c r="F751" s="247"/>
      <c r="G751" s="30"/>
    </row>
    <row r="752" spans="1:7" s="31" customFormat="1" ht="21">
      <c r="A752" s="50"/>
      <c r="B752" s="77"/>
      <c r="C752" s="248"/>
      <c r="D752" s="249"/>
      <c r="E752" s="30"/>
      <c r="F752" s="247"/>
      <c r="G752" s="30"/>
    </row>
    <row r="753" spans="1:7" s="31" customFormat="1">
      <c r="A753" s="77"/>
      <c r="B753" s="77"/>
      <c r="C753" s="248"/>
      <c r="D753" s="248"/>
      <c r="E753" s="30"/>
      <c r="F753" s="247"/>
      <c r="G753" s="30"/>
    </row>
    <row r="754" spans="1:7" s="31" customFormat="1">
      <c r="A754" s="250"/>
      <c r="B754" s="77"/>
      <c r="C754" s="30"/>
      <c r="D754" s="42"/>
      <c r="E754" s="30"/>
      <c r="F754" s="247"/>
      <c r="G754" s="30"/>
    </row>
    <row r="755" spans="1:7" s="31" customFormat="1">
      <c r="A755" s="250"/>
      <c r="B755" s="251"/>
      <c r="C755" s="74"/>
      <c r="D755" s="74"/>
      <c r="E755" s="30"/>
      <c r="F755" s="247"/>
      <c r="G755" s="30"/>
    </row>
    <row r="756" spans="1:7" s="31" customFormat="1">
      <c r="A756" s="83"/>
      <c r="B756" s="185"/>
      <c r="C756" s="30"/>
      <c r="D756" s="42"/>
      <c r="E756" s="30"/>
      <c r="F756" s="247"/>
      <c r="G756" s="30"/>
    </row>
    <row r="757" spans="1:7" s="31" customFormat="1">
      <c r="A757" s="83"/>
      <c r="B757" s="185"/>
      <c r="C757" s="30"/>
      <c r="D757" s="42"/>
      <c r="E757" s="30"/>
      <c r="F757" s="247"/>
      <c r="G757" s="30"/>
    </row>
    <row r="758" spans="1:7" s="31" customFormat="1">
      <c r="A758" s="83"/>
      <c r="B758" s="185"/>
      <c r="C758" s="30"/>
      <c r="D758" s="42"/>
      <c r="E758" s="30"/>
      <c r="F758" s="247"/>
      <c r="G758" s="30"/>
    </row>
    <row r="759" spans="1:7" s="31" customFormat="1">
      <c r="A759" s="83"/>
      <c r="B759" s="185"/>
      <c r="C759" s="30"/>
      <c r="D759" s="42"/>
      <c r="E759" s="30"/>
      <c r="F759" s="247"/>
      <c r="G759" s="30"/>
    </row>
    <row r="760" spans="1:7" s="31" customFormat="1">
      <c r="A760" s="239"/>
      <c r="B760" s="185"/>
      <c r="C760" s="74"/>
      <c r="D760" s="74"/>
      <c r="E760" s="30"/>
      <c r="F760" s="247"/>
      <c r="G760" s="30"/>
    </row>
    <row r="761" spans="1:7" s="31" customFormat="1">
      <c r="A761" s="250"/>
      <c r="B761" s="251"/>
      <c r="C761" s="74"/>
      <c r="D761" s="74"/>
      <c r="E761" s="30"/>
      <c r="F761" s="247"/>
      <c r="G761" s="30"/>
    </row>
    <row r="762" spans="1:7" s="31" customFormat="1">
      <c r="A762" s="83"/>
      <c r="B762" s="185"/>
      <c r="C762" s="30"/>
      <c r="D762" s="186"/>
      <c r="E762" s="30"/>
      <c r="F762" s="247"/>
      <c r="G762" s="30"/>
    </row>
    <row r="763" spans="1:7" s="31" customFormat="1">
      <c r="A763" s="83"/>
      <c r="B763" s="185"/>
      <c r="C763" s="30"/>
      <c r="D763" s="186"/>
      <c r="E763" s="30"/>
      <c r="F763" s="247"/>
      <c r="G763" s="30"/>
    </row>
    <row r="764" spans="1:7" s="31" customFormat="1">
      <c r="B764" s="185"/>
      <c r="C764" s="30"/>
      <c r="D764" s="186"/>
      <c r="E764" s="30"/>
      <c r="F764" s="247"/>
      <c r="G764" s="30"/>
    </row>
    <row r="765" spans="1:7" s="31" customFormat="1">
      <c r="B765" s="185"/>
      <c r="C765" s="30"/>
      <c r="D765" s="186"/>
      <c r="E765" s="30"/>
      <c r="F765" s="247"/>
      <c r="G765" s="30"/>
    </row>
    <row r="766" spans="1:7" s="31" customFormat="1">
      <c r="A766" s="131"/>
      <c r="B766" s="185"/>
      <c r="C766" s="30"/>
      <c r="D766" s="186"/>
      <c r="E766" s="30"/>
      <c r="F766" s="247"/>
      <c r="G766" s="30"/>
    </row>
    <row r="767" spans="1:7" s="31" customFormat="1">
      <c r="B767" s="185"/>
      <c r="C767" s="30"/>
      <c r="D767" s="186"/>
      <c r="E767" s="30"/>
      <c r="F767" s="247"/>
      <c r="G767" s="30"/>
    </row>
    <row r="768" spans="1:7" s="31" customFormat="1">
      <c r="B768" s="185"/>
      <c r="C768" s="30"/>
      <c r="D768" s="186"/>
      <c r="E768" s="30"/>
      <c r="F768" s="247"/>
      <c r="G768" s="30"/>
    </row>
    <row r="769" spans="1:7" s="31" customFormat="1">
      <c r="B769" s="185"/>
      <c r="C769" s="30"/>
      <c r="D769" s="186"/>
      <c r="E769" s="30"/>
      <c r="F769" s="247"/>
      <c r="G769" s="30"/>
    </row>
    <row r="770" spans="1:7" s="31" customFormat="1">
      <c r="B770" s="185"/>
      <c r="C770" s="30"/>
      <c r="D770" s="186"/>
      <c r="E770" s="30"/>
      <c r="F770" s="247"/>
      <c r="G770" s="30"/>
    </row>
    <row r="771" spans="1:7" s="31" customFormat="1">
      <c r="B771" s="185"/>
      <c r="C771" s="30"/>
      <c r="D771" s="186"/>
      <c r="E771" s="30"/>
      <c r="F771" s="247"/>
      <c r="G771" s="30"/>
    </row>
    <row r="772" spans="1:7" s="31" customFormat="1">
      <c r="B772" s="185"/>
      <c r="C772" s="30"/>
      <c r="D772" s="186"/>
      <c r="E772" s="30"/>
      <c r="F772" s="247"/>
      <c r="G772" s="30"/>
    </row>
    <row r="773" spans="1:7" s="31" customFormat="1">
      <c r="A773" s="239"/>
      <c r="B773" s="185"/>
      <c r="C773" s="74"/>
      <c r="D773" s="74"/>
      <c r="E773" s="30"/>
      <c r="F773" s="247"/>
      <c r="G773" s="30"/>
    </row>
    <row r="774" spans="1:7" s="31" customFormat="1">
      <c r="A774" s="250"/>
      <c r="B774" s="251"/>
      <c r="C774" s="74"/>
      <c r="D774" s="74"/>
      <c r="E774" s="30"/>
      <c r="F774" s="247"/>
      <c r="G774" s="30"/>
    </row>
    <row r="775" spans="1:7" s="31" customFormat="1">
      <c r="B775" s="185"/>
      <c r="C775" s="30"/>
      <c r="D775" s="42"/>
      <c r="E775" s="30"/>
      <c r="F775" s="247"/>
      <c r="G775" s="30"/>
    </row>
    <row r="776" spans="1:7" s="31" customFormat="1">
      <c r="A776" s="239"/>
      <c r="B776" s="185"/>
      <c r="C776" s="74"/>
      <c r="D776" s="74"/>
      <c r="E776" s="30"/>
      <c r="F776" s="247"/>
      <c r="G776" s="30"/>
    </row>
    <row r="777" spans="1:7" s="31" customFormat="1">
      <c r="A777" s="250"/>
      <c r="B777" s="251"/>
      <c r="C777" s="74"/>
      <c r="D777" s="74"/>
      <c r="E777" s="30"/>
      <c r="F777" s="247"/>
      <c r="G777" s="30"/>
    </row>
    <row r="778" spans="1:7" s="31" customFormat="1">
      <c r="B778" s="185"/>
      <c r="C778" s="30"/>
      <c r="D778" s="42"/>
      <c r="E778" s="30"/>
      <c r="F778" s="247"/>
      <c r="G778" s="30"/>
    </row>
    <row r="779" spans="1:7" s="31" customFormat="1">
      <c r="B779" s="185"/>
      <c r="C779" s="30"/>
      <c r="D779" s="42"/>
      <c r="E779" s="30"/>
      <c r="F779" s="247"/>
      <c r="G779" s="30"/>
    </row>
    <row r="780" spans="1:7" s="31" customFormat="1">
      <c r="A780" s="239"/>
      <c r="B780" s="185"/>
      <c r="C780" s="74"/>
      <c r="D780" s="74"/>
      <c r="E780" s="30"/>
      <c r="F780" s="247"/>
      <c r="G780" s="30"/>
    </row>
    <row r="781" spans="1:7" s="31" customFormat="1">
      <c r="A781" s="250"/>
      <c r="B781" s="185"/>
      <c r="C781" s="74"/>
      <c r="D781" s="74"/>
      <c r="E781" s="30"/>
      <c r="F781" s="247"/>
      <c r="G781" s="30"/>
    </row>
    <row r="782" spans="1:7" s="31" customFormat="1">
      <c r="A782" s="250"/>
      <c r="B782" s="185"/>
      <c r="C782" s="74"/>
      <c r="D782" s="74"/>
      <c r="E782" s="30"/>
      <c r="F782" s="247"/>
      <c r="G782" s="30"/>
    </row>
    <row r="783" spans="1:7" s="31" customFormat="1">
      <c r="B783" s="185"/>
      <c r="C783" s="30"/>
      <c r="D783" s="30"/>
      <c r="E783" s="30"/>
      <c r="F783" s="247"/>
      <c r="G783" s="30"/>
    </row>
    <row r="784" spans="1:7" s="31" customFormat="1">
      <c r="B784" s="185"/>
      <c r="C784" s="30"/>
      <c r="D784" s="30"/>
      <c r="E784" s="30"/>
      <c r="F784" s="247"/>
      <c r="G784" s="30"/>
    </row>
    <row r="785" spans="1:7" s="31" customFormat="1">
      <c r="B785" s="185"/>
      <c r="C785" s="30"/>
      <c r="D785" s="30"/>
      <c r="E785" s="30"/>
      <c r="F785" s="247"/>
      <c r="G785" s="30"/>
    </row>
    <row r="786" spans="1:7" s="31" customFormat="1">
      <c r="B786" s="185"/>
      <c r="C786" s="30"/>
      <c r="D786" s="30"/>
      <c r="E786" s="30"/>
      <c r="F786" s="247"/>
      <c r="G786" s="30"/>
    </row>
    <row r="787" spans="1:7" s="31" customFormat="1">
      <c r="B787" s="185"/>
      <c r="C787" s="30"/>
      <c r="D787" s="30"/>
      <c r="E787" s="30"/>
      <c r="F787" s="247"/>
      <c r="G787" s="30"/>
    </row>
    <row r="788" spans="1:7" s="31" customFormat="1">
      <c r="B788" s="185"/>
      <c r="C788" s="30"/>
      <c r="D788" s="30"/>
      <c r="E788" s="30"/>
      <c r="F788" s="247"/>
      <c r="G788" s="30"/>
    </row>
    <row r="789" spans="1:7" s="31" customFormat="1">
      <c r="B789" s="185"/>
      <c r="C789" s="30"/>
      <c r="D789" s="30"/>
      <c r="E789" s="30"/>
      <c r="F789" s="247"/>
      <c r="G789" s="30"/>
    </row>
    <row r="790" spans="1:7" s="31" customFormat="1">
      <c r="B790" s="185"/>
      <c r="C790" s="30"/>
      <c r="D790" s="30"/>
      <c r="E790" s="30"/>
      <c r="F790" s="247"/>
      <c r="G790" s="30"/>
    </row>
    <row r="791" spans="1:7" s="31" customFormat="1">
      <c r="B791" s="185"/>
      <c r="C791" s="30"/>
      <c r="D791" s="30"/>
      <c r="E791" s="30"/>
      <c r="F791" s="247"/>
      <c r="G791" s="30"/>
    </row>
    <row r="792" spans="1:7" s="31" customFormat="1">
      <c r="A792" s="239"/>
      <c r="B792" s="185"/>
      <c r="C792" s="74"/>
      <c r="D792" s="78"/>
      <c r="E792" s="30"/>
      <c r="F792" s="247"/>
      <c r="G792" s="30"/>
    </row>
    <row r="793" spans="1:7" s="31" customFormat="1">
      <c r="B793" s="185"/>
      <c r="C793" s="30"/>
      <c r="D793" s="30"/>
      <c r="E793" s="30"/>
      <c r="F793" s="247"/>
      <c r="G793" s="30"/>
    </row>
    <row r="794" spans="1:7" s="31" customFormat="1" ht="21">
      <c r="A794" s="50"/>
      <c r="B794" s="77"/>
      <c r="C794" s="248"/>
      <c r="D794" s="249"/>
      <c r="E794" s="30"/>
      <c r="F794" s="247"/>
      <c r="G794" s="30"/>
    </row>
    <row r="795" spans="1:7" s="31" customFormat="1">
      <c r="A795" s="77"/>
      <c r="B795" s="77"/>
      <c r="C795" s="248"/>
      <c r="D795" s="248"/>
      <c r="E795" s="30"/>
      <c r="F795" s="247"/>
      <c r="G795" s="30"/>
    </row>
    <row r="796" spans="1:7" s="31" customFormat="1">
      <c r="A796" s="250"/>
      <c r="B796" s="239"/>
      <c r="C796" s="74"/>
      <c r="D796" s="78"/>
      <c r="E796" s="30"/>
      <c r="F796" s="247"/>
      <c r="G796" s="30"/>
    </row>
    <row r="797" spans="1:7" s="31" customFormat="1">
      <c r="A797" s="250"/>
      <c r="B797" s="239"/>
      <c r="C797" s="74"/>
      <c r="D797" s="74"/>
      <c r="E797" s="30"/>
      <c r="F797" s="247"/>
      <c r="G797" s="30"/>
    </row>
    <row r="798" spans="1:7" s="31" customFormat="1">
      <c r="B798" s="77"/>
      <c r="C798" s="30"/>
      <c r="D798" s="42"/>
      <c r="E798" s="30"/>
      <c r="F798" s="247"/>
      <c r="G798" s="30"/>
    </row>
    <row r="799" spans="1:7" s="31" customFormat="1">
      <c r="B799" s="77"/>
      <c r="C799" s="30"/>
      <c r="D799" s="42"/>
      <c r="E799" s="30"/>
      <c r="F799" s="247"/>
      <c r="G799" s="30"/>
    </row>
    <row r="800" spans="1:7" s="31" customFormat="1">
      <c r="B800" s="77"/>
      <c r="C800" s="74"/>
      <c r="D800" s="74"/>
      <c r="E800" s="30"/>
      <c r="F800" s="247"/>
      <c r="G800" s="30"/>
    </row>
    <row r="801" spans="1:7" s="31" customFormat="1">
      <c r="A801" s="239"/>
      <c r="B801" s="185"/>
      <c r="C801" s="74"/>
      <c r="D801" s="74"/>
      <c r="E801" s="30"/>
      <c r="F801" s="247"/>
      <c r="G801" s="30"/>
    </row>
    <row r="802" spans="1:7" s="31" customFormat="1">
      <c r="A802" s="250"/>
      <c r="B802" s="239"/>
      <c r="C802" s="74"/>
      <c r="D802" s="78"/>
      <c r="E802" s="30"/>
      <c r="F802" s="247"/>
      <c r="G802" s="30"/>
    </row>
    <row r="803" spans="1:7" s="31" customFormat="1">
      <c r="A803" s="250"/>
      <c r="B803" s="239"/>
      <c r="C803" s="74"/>
      <c r="D803" s="74"/>
      <c r="E803" s="30"/>
      <c r="F803" s="247"/>
      <c r="G803" s="30"/>
    </row>
    <row r="804" spans="1:7" s="31" customFormat="1">
      <c r="B804" s="77"/>
      <c r="C804" s="30"/>
      <c r="D804" s="42"/>
      <c r="E804" s="30"/>
      <c r="F804" s="247"/>
      <c r="G804" s="30"/>
    </row>
    <row r="805" spans="1:7" s="31" customFormat="1">
      <c r="B805" s="77"/>
      <c r="C805" s="30"/>
      <c r="D805" s="42"/>
      <c r="E805" s="30"/>
      <c r="F805" s="247"/>
      <c r="G805" s="30"/>
    </row>
    <row r="806" spans="1:7" s="31" customFormat="1">
      <c r="B806" s="77"/>
      <c r="C806" s="30"/>
      <c r="D806" s="42"/>
      <c r="E806" s="30"/>
      <c r="F806" s="247"/>
      <c r="G806" s="30"/>
    </row>
    <row r="807" spans="1:7" s="31" customFormat="1">
      <c r="A807" s="239"/>
      <c r="B807" s="77"/>
      <c r="C807" s="74"/>
      <c r="D807" s="74"/>
      <c r="E807" s="30"/>
      <c r="F807" s="247"/>
      <c r="G807" s="30"/>
    </row>
    <row r="808" spans="1:7" s="31" customFormat="1">
      <c r="A808" s="239"/>
      <c r="B808" s="185"/>
      <c r="C808" s="74"/>
      <c r="D808" s="74"/>
      <c r="E808" s="30"/>
      <c r="F808" s="247"/>
      <c r="G808" s="30"/>
    </row>
    <row r="809" spans="1:7" s="31" customFormat="1">
      <c r="B809" s="77"/>
      <c r="C809" s="30"/>
      <c r="D809" s="42"/>
      <c r="E809" s="30"/>
      <c r="F809" s="247"/>
      <c r="G809" s="30"/>
    </row>
    <row r="810" spans="1:7" s="31" customFormat="1">
      <c r="B810" s="77"/>
      <c r="C810" s="30"/>
      <c r="D810" s="42"/>
      <c r="E810" s="30"/>
      <c r="F810" s="247"/>
      <c r="G810" s="30"/>
    </row>
    <row r="811" spans="1:7" s="31" customFormat="1">
      <c r="B811" s="77"/>
      <c r="C811" s="30"/>
      <c r="D811" s="42"/>
      <c r="E811" s="30"/>
      <c r="F811" s="247"/>
      <c r="G811" s="30"/>
    </row>
    <row r="812" spans="1:7" s="31" customFormat="1">
      <c r="B812" s="77"/>
      <c r="C812" s="30"/>
      <c r="D812" s="42"/>
      <c r="E812" s="30"/>
      <c r="F812" s="247"/>
      <c r="G812" s="30"/>
    </row>
    <row r="813" spans="1:7" s="31" customFormat="1">
      <c r="B813" s="77"/>
      <c r="C813" s="30"/>
      <c r="D813" s="42"/>
      <c r="E813" s="30"/>
      <c r="F813" s="247"/>
      <c r="G813" s="30"/>
    </row>
    <row r="814" spans="1:7" s="31" customFormat="1">
      <c r="B814" s="77"/>
      <c r="C814" s="30"/>
      <c r="D814" s="42"/>
      <c r="E814" s="30"/>
      <c r="F814" s="247"/>
      <c r="G814" s="30"/>
    </row>
    <row r="815" spans="1:7" s="31" customFormat="1">
      <c r="B815" s="77"/>
      <c r="C815" s="30"/>
      <c r="D815" s="42"/>
      <c r="E815" s="30"/>
      <c r="F815" s="247"/>
      <c r="G815" s="30"/>
    </row>
    <row r="816" spans="1:7" s="31" customFormat="1">
      <c r="B816" s="77"/>
      <c r="C816" s="30"/>
      <c r="D816" s="42"/>
      <c r="E816" s="30"/>
      <c r="F816" s="247"/>
      <c r="G816" s="30"/>
    </row>
    <row r="817" spans="2:7" s="31" customFormat="1">
      <c r="B817" s="77"/>
      <c r="C817" s="30"/>
      <c r="D817" s="42"/>
      <c r="E817" s="30"/>
      <c r="F817" s="247"/>
      <c r="G817" s="30"/>
    </row>
    <row r="818" spans="2:7" s="31" customFormat="1">
      <c r="B818" s="77"/>
      <c r="C818" s="30"/>
      <c r="D818" s="42"/>
      <c r="E818" s="30"/>
      <c r="F818" s="247"/>
      <c r="G818" s="30"/>
    </row>
    <row r="819" spans="2:7" s="31" customFormat="1">
      <c r="B819" s="77"/>
      <c r="C819" s="30"/>
      <c r="D819" s="42"/>
      <c r="E819" s="30"/>
      <c r="F819" s="247"/>
      <c r="G819" s="30"/>
    </row>
    <row r="820" spans="2:7" s="31" customFormat="1">
      <c r="B820" s="77"/>
      <c r="C820" s="30"/>
      <c r="D820" s="42"/>
      <c r="E820" s="30"/>
      <c r="F820" s="247"/>
      <c r="G820" s="30"/>
    </row>
    <row r="821" spans="2:7" s="31" customFormat="1">
      <c r="B821" s="77"/>
      <c r="C821" s="30"/>
      <c r="D821" s="42"/>
      <c r="E821" s="30"/>
      <c r="F821" s="247"/>
      <c r="G821" s="30"/>
    </row>
    <row r="822" spans="2:7" s="31" customFormat="1">
      <c r="B822" s="77"/>
      <c r="C822" s="30"/>
      <c r="D822" s="42"/>
      <c r="E822" s="30"/>
      <c r="F822" s="247"/>
      <c r="G822" s="30"/>
    </row>
    <row r="823" spans="2:7" s="31" customFormat="1">
      <c r="B823" s="77"/>
      <c r="C823" s="30"/>
      <c r="D823" s="42"/>
      <c r="E823" s="30"/>
      <c r="F823" s="247"/>
      <c r="G823" s="30"/>
    </row>
    <row r="824" spans="2:7" s="31" customFormat="1">
      <c r="B824" s="77"/>
      <c r="C824" s="30"/>
      <c r="D824" s="42"/>
      <c r="E824" s="30"/>
      <c r="F824" s="247"/>
      <c r="G824" s="30"/>
    </row>
    <row r="825" spans="2:7" s="31" customFormat="1">
      <c r="B825" s="77"/>
      <c r="C825" s="30"/>
      <c r="D825" s="42"/>
      <c r="E825" s="30"/>
      <c r="F825" s="247"/>
      <c r="G825" s="30"/>
    </row>
    <row r="826" spans="2:7" s="31" customFormat="1">
      <c r="B826" s="77"/>
      <c r="C826" s="30"/>
      <c r="D826" s="42"/>
      <c r="E826" s="30"/>
      <c r="F826" s="247"/>
      <c r="G826" s="30"/>
    </row>
    <row r="827" spans="2:7" s="31" customFormat="1">
      <c r="B827" s="77"/>
      <c r="C827" s="30"/>
      <c r="D827" s="42"/>
      <c r="E827" s="30"/>
      <c r="F827" s="247"/>
      <c r="G827" s="30"/>
    </row>
    <row r="828" spans="2:7" s="31" customFormat="1">
      <c r="B828" s="77"/>
      <c r="C828" s="30"/>
      <c r="D828" s="42"/>
      <c r="E828" s="30"/>
      <c r="F828" s="247"/>
      <c r="G828" s="30"/>
    </row>
    <row r="829" spans="2:7" s="31" customFormat="1">
      <c r="B829" s="77"/>
      <c r="C829" s="30"/>
      <c r="D829" s="42"/>
      <c r="E829" s="30"/>
      <c r="F829" s="247"/>
      <c r="G829" s="30"/>
    </row>
    <row r="830" spans="2:7" s="31" customFormat="1">
      <c r="B830" s="77"/>
      <c r="C830" s="30"/>
      <c r="D830" s="42"/>
      <c r="E830" s="30"/>
      <c r="F830" s="247"/>
      <c r="G830" s="30"/>
    </row>
    <row r="831" spans="2:7" s="31" customFormat="1">
      <c r="B831" s="77"/>
      <c r="C831" s="30"/>
      <c r="D831" s="42"/>
      <c r="E831" s="30"/>
      <c r="F831" s="247"/>
      <c r="G831" s="30"/>
    </row>
    <row r="832" spans="2:7" s="31" customFormat="1">
      <c r="B832" s="77"/>
      <c r="C832" s="30"/>
      <c r="D832" s="42"/>
      <c r="E832" s="30"/>
      <c r="F832" s="247"/>
      <c r="G832" s="30"/>
    </row>
    <row r="833" spans="1:7" s="31" customFormat="1">
      <c r="B833" s="77"/>
      <c r="C833" s="30"/>
      <c r="D833" s="42"/>
      <c r="E833" s="30"/>
      <c r="F833" s="247"/>
      <c r="G833" s="30"/>
    </row>
    <row r="834" spans="1:7" s="31" customFormat="1">
      <c r="B834" s="77"/>
      <c r="C834" s="30"/>
      <c r="D834" s="42"/>
      <c r="E834" s="30"/>
      <c r="F834" s="247"/>
      <c r="G834" s="30"/>
    </row>
    <row r="835" spans="1:7" s="31" customFormat="1">
      <c r="B835" s="77"/>
      <c r="C835" s="30"/>
      <c r="D835" s="42"/>
      <c r="E835" s="30"/>
      <c r="F835" s="247"/>
      <c r="G835" s="30"/>
    </row>
    <row r="836" spans="1:7" s="31" customFormat="1">
      <c r="B836" s="77"/>
      <c r="C836" s="30"/>
      <c r="D836" s="42"/>
      <c r="E836" s="30"/>
      <c r="F836" s="247"/>
      <c r="G836" s="30"/>
    </row>
    <row r="837" spans="1:7" s="31" customFormat="1">
      <c r="B837" s="77"/>
      <c r="C837" s="30"/>
      <c r="D837" s="42"/>
      <c r="E837" s="30"/>
      <c r="F837" s="247"/>
      <c r="G837" s="30"/>
    </row>
    <row r="838" spans="1:7" s="31" customFormat="1">
      <c r="B838" s="77"/>
      <c r="C838" s="30"/>
      <c r="D838" s="42"/>
      <c r="E838" s="30"/>
      <c r="F838" s="247"/>
      <c r="G838" s="30"/>
    </row>
    <row r="839" spans="1:7" s="31" customFormat="1" ht="21">
      <c r="A839" s="307"/>
      <c r="B839" s="307"/>
      <c r="C839" s="307"/>
      <c r="D839" s="307"/>
      <c r="E839" s="30"/>
      <c r="F839" s="247"/>
      <c r="G839" s="30"/>
    </row>
    <row r="840" spans="1:7" s="31" customFormat="1" ht="21">
      <c r="A840" s="307"/>
      <c r="B840" s="307"/>
      <c r="C840" s="307"/>
      <c r="D840" s="307"/>
      <c r="E840" s="30"/>
      <c r="F840" s="247"/>
      <c r="G840" s="30"/>
    </row>
    <row r="841" spans="1:7" s="31" customFormat="1" ht="21">
      <c r="A841" s="307"/>
      <c r="B841" s="307"/>
      <c r="C841" s="307"/>
      <c r="D841" s="307"/>
      <c r="E841" s="30"/>
      <c r="F841" s="247"/>
      <c r="G841" s="30"/>
    </row>
    <row r="842" spans="1:7" s="31" customFormat="1" ht="21">
      <c r="A842" s="50"/>
      <c r="B842" s="77"/>
      <c r="C842" s="248"/>
      <c r="D842" s="249"/>
      <c r="E842" s="30"/>
      <c r="F842" s="247"/>
      <c r="G842" s="30"/>
    </row>
    <row r="843" spans="1:7" s="31" customFormat="1">
      <c r="A843" s="77"/>
      <c r="B843" s="77"/>
      <c r="C843" s="248"/>
      <c r="D843" s="248"/>
      <c r="E843" s="30"/>
      <c r="F843" s="247"/>
      <c r="G843" s="30"/>
    </row>
    <row r="844" spans="1:7" s="31" customFormat="1">
      <c r="A844" s="250"/>
      <c r="B844" s="77"/>
      <c r="C844" s="30"/>
      <c r="D844" s="42"/>
      <c r="E844" s="30"/>
      <c r="F844" s="247"/>
      <c r="G844" s="30"/>
    </row>
    <row r="845" spans="1:7" s="31" customFormat="1">
      <c r="A845" s="250"/>
      <c r="B845" s="251"/>
      <c r="C845" s="74"/>
      <c r="D845" s="74"/>
      <c r="E845" s="30"/>
      <c r="F845" s="247"/>
      <c r="G845" s="30"/>
    </row>
    <row r="846" spans="1:7" s="31" customFormat="1">
      <c r="A846" s="83"/>
      <c r="B846" s="185"/>
      <c r="C846" s="30"/>
      <c r="D846" s="42"/>
      <c r="E846" s="30"/>
      <c r="F846" s="252"/>
      <c r="G846" s="30"/>
    </row>
    <row r="847" spans="1:7" s="31" customFormat="1">
      <c r="A847" s="83"/>
      <c r="B847" s="185"/>
      <c r="C847" s="30"/>
      <c r="D847" s="42"/>
      <c r="E847" s="30"/>
      <c r="F847" s="252"/>
      <c r="G847" s="30"/>
    </row>
    <row r="848" spans="1:7" s="31" customFormat="1">
      <c r="A848" s="83"/>
      <c r="B848" s="185"/>
      <c r="C848" s="30"/>
      <c r="D848" s="42"/>
      <c r="E848" s="30"/>
      <c r="F848" s="252"/>
      <c r="G848" s="30"/>
    </row>
    <row r="849" spans="1:7" s="31" customFormat="1">
      <c r="A849" s="83"/>
      <c r="B849" s="185"/>
      <c r="C849" s="30"/>
      <c r="D849" s="42"/>
      <c r="E849" s="30"/>
      <c r="F849" s="252"/>
      <c r="G849" s="30"/>
    </row>
    <row r="850" spans="1:7" s="31" customFormat="1">
      <c r="A850" s="239"/>
      <c r="B850" s="185"/>
      <c r="C850" s="74"/>
      <c r="D850" s="74"/>
      <c r="E850" s="30"/>
      <c r="F850" s="252"/>
      <c r="G850" s="30"/>
    </row>
    <row r="851" spans="1:7" s="31" customFormat="1">
      <c r="A851" s="250"/>
      <c r="B851" s="251"/>
      <c r="C851" s="74"/>
      <c r="D851" s="74"/>
      <c r="E851" s="30"/>
      <c r="F851" s="252"/>
      <c r="G851" s="30"/>
    </row>
    <row r="852" spans="1:7" s="31" customFormat="1">
      <c r="A852" s="83"/>
      <c r="B852" s="185"/>
      <c r="C852" s="30"/>
      <c r="D852" s="186"/>
      <c r="E852" s="30"/>
      <c r="F852" s="252"/>
      <c r="G852" s="30"/>
    </row>
    <row r="853" spans="1:7" s="31" customFormat="1">
      <c r="A853" s="83"/>
      <c r="B853" s="185"/>
      <c r="C853" s="30"/>
      <c r="D853" s="186"/>
      <c r="E853" s="30"/>
      <c r="F853" s="252"/>
      <c r="G853" s="30"/>
    </row>
    <row r="854" spans="1:7" s="31" customFormat="1">
      <c r="B854" s="185"/>
      <c r="C854" s="30"/>
      <c r="D854" s="186"/>
      <c r="E854" s="30"/>
      <c r="F854" s="252"/>
      <c r="G854" s="30"/>
    </row>
    <row r="855" spans="1:7" s="31" customFormat="1">
      <c r="B855" s="185"/>
      <c r="C855" s="30"/>
      <c r="D855" s="186"/>
      <c r="E855" s="30"/>
      <c r="F855" s="252"/>
      <c r="G855" s="30"/>
    </row>
    <row r="856" spans="1:7" s="31" customFormat="1">
      <c r="A856" s="131"/>
      <c r="B856" s="185"/>
      <c r="C856" s="30"/>
      <c r="D856" s="186"/>
      <c r="E856" s="30"/>
      <c r="F856" s="252"/>
      <c r="G856" s="30"/>
    </row>
    <row r="857" spans="1:7" s="31" customFormat="1">
      <c r="B857" s="185"/>
      <c r="C857" s="30"/>
      <c r="D857" s="186"/>
      <c r="E857" s="30"/>
      <c r="F857" s="252"/>
      <c r="G857" s="30"/>
    </row>
    <row r="858" spans="1:7" s="31" customFormat="1">
      <c r="B858" s="185"/>
      <c r="C858" s="30"/>
      <c r="D858" s="186"/>
      <c r="E858" s="30"/>
      <c r="F858" s="252"/>
      <c r="G858" s="30"/>
    </row>
    <row r="859" spans="1:7" s="31" customFormat="1">
      <c r="B859" s="185"/>
      <c r="C859" s="30"/>
      <c r="D859" s="186"/>
      <c r="E859" s="30"/>
      <c r="F859" s="252"/>
      <c r="G859" s="30"/>
    </row>
    <row r="860" spans="1:7" s="31" customFormat="1">
      <c r="B860" s="185"/>
      <c r="C860" s="30"/>
      <c r="D860" s="186"/>
      <c r="E860" s="30"/>
      <c r="F860" s="252"/>
      <c r="G860" s="30"/>
    </row>
    <row r="861" spans="1:7" s="31" customFormat="1">
      <c r="B861" s="185"/>
      <c r="C861" s="30"/>
      <c r="D861" s="186"/>
      <c r="E861" s="30"/>
      <c r="F861" s="252"/>
      <c r="G861" s="30"/>
    </row>
    <row r="862" spans="1:7" s="31" customFormat="1">
      <c r="B862" s="185"/>
      <c r="C862" s="30"/>
      <c r="D862" s="186"/>
      <c r="E862" s="30"/>
      <c r="F862" s="252"/>
      <c r="G862" s="30"/>
    </row>
    <row r="863" spans="1:7" s="31" customFormat="1">
      <c r="A863" s="239"/>
      <c r="B863" s="185"/>
      <c r="C863" s="74"/>
      <c r="D863" s="74"/>
      <c r="E863" s="30"/>
      <c r="F863" s="252"/>
      <c r="G863" s="30"/>
    </row>
    <row r="864" spans="1:7" s="31" customFormat="1">
      <c r="A864" s="250"/>
      <c r="B864" s="251"/>
      <c r="C864" s="74"/>
      <c r="D864" s="74"/>
      <c r="E864" s="30"/>
      <c r="F864" s="252"/>
      <c r="G864" s="30"/>
    </row>
    <row r="865" spans="1:7" s="31" customFormat="1">
      <c r="B865" s="185"/>
      <c r="C865" s="30"/>
      <c r="D865" s="42"/>
      <c r="E865" s="30"/>
      <c r="F865" s="252"/>
      <c r="G865" s="30"/>
    </row>
    <row r="866" spans="1:7" s="31" customFormat="1">
      <c r="A866" s="239"/>
      <c r="B866" s="185"/>
      <c r="C866" s="74"/>
      <c r="D866" s="74"/>
      <c r="E866" s="30"/>
      <c r="F866" s="252"/>
      <c r="G866" s="30"/>
    </row>
    <row r="867" spans="1:7" s="31" customFormat="1">
      <c r="A867" s="250"/>
      <c r="B867" s="251"/>
      <c r="C867" s="74"/>
      <c r="D867" s="74"/>
      <c r="E867" s="30"/>
      <c r="F867" s="252"/>
      <c r="G867" s="30"/>
    </row>
    <row r="868" spans="1:7" s="31" customFormat="1">
      <c r="B868" s="185"/>
      <c r="C868" s="30"/>
      <c r="D868" s="42"/>
      <c r="E868" s="30"/>
      <c r="F868" s="252"/>
      <c r="G868" s="30"/>
    </row>
    <row r="869" spans="1:7" s="31" customFormat="1">
      <c r="B869" s="185"/>
      <c r="C869" s="30"/>
      <c r="D869" s="42"/>
      <c r="E869" s="30"/>
      <c r="F869" s="252"/>
      <c r="G869" s="30"/>
    </row>
    <row r="870" spans="1:7" s="31" customFormat="1">
      <c r="A870" s="239"/>
      <c r="B870" s="185"/>
      <c r="C870" s="74"/>
      <c r="D870" s="74"/>
      <c r="E870" s="30"/>
      <c r="F870" s="252"/>
      <c r="G870" s="30"/>
    </row>
    <row r="871" spans="1:7" s="31" customFormat="1">
      <c r="A871" s="250"/>
      <c r="B871" s="185"/>
      <c r="C871" s="74"/>
      <c r="D871" s="74"/>
      <c r="E871" s="30"/>
      <c r="F871" s="252"/>
      <c r="G871" s="30"/>
    </row>
    <row r="872" spans="1:7" s="31" customFormat="1">
      <c r="A872" s="250"/>
      <c r="B872" s="185"/>
      <c r="C872" s="74"/>
      <c r="D872" s="74"/>
      <c r="E872" s="30"/>
      <c r="F872" s="252"/>
      <c r="G872" s="30"/>
    </row>
    <row r="873" spans="1:7" s="31" customFormat="1">
      <c r="B873" s="185"/>
      <c r="C873" s="30"/>
      <c r="D873" s="30"/>
      <c r="E873" s="30"/>
      <c r="F873" s="252"/>
      <c r="G873" s="30"/>
    </row>
    <row r="874" spans="1:7" s="31" customFormat="1">
      <c r="B874" s="185"/>
      <c r="C874" s="30"/>
      <c r="D874" s="30"/>
      <c r="E874" s="30"/>
      <c r="F874" s="252"/>
      <c r="G874" s="30"/>
    </row>
    <row r="875" spans="1:7" s="31" customFormat="1">
      <c r="B875" s="185"/>
      <c r="C875" s="30"/>
      <c r="D875" s="30"/>
      <c r="E875" s="30"/>
      <c r="F875" s="252"/>
      <c r="G875" s="30"/>
    </row>
    <row r="876" spans="1:7" s="31" customFormat="1">
      <c r="B876" s="185"/>
      <c r="C876" s="30"/>
      <c r="D876" s="30"/>
      <c r="E876" s="30"/>
      <c r="F876" s="252"/>
      <c r="G876" s="30"/>
    </row>
    <row r="877" spans="1:7" s="31" customFormat="1">
      <c r="B877" s="185"/>
      <c r="C877" s="30"/>
      <c r="D877" s="30"/>
      <c r="E877" s="30"/>
      <c r="F877" s="252"/>
      <c r="G877" s="30"/>
    </row>
    <row r="878" spans="1:7" s="31" customFormat="1">
      <c r="B878" s="185"/>
      <c r="C878" s="30"/>
      <c r="D878" s="30"/>
      <c r="E878" s="30"/>
      <c r="F878" s="252"/>
      <c r="G878" s="30"/>
    </row>
    <row r="879" spans="1:7" s="31" customFormat="1">
      <c r="B879" s="185"/>
      <c r="C879" s="30"/>
      <c r="D879" s="30"/>
      <c r="E879" s="30"/>
      <c r="F879" s="252"/>
      <c r="G879" s="30"/>
    </row>
    <row r="880" spans="1:7" s="31" customFormat="1">
      <c r="B880" s="185"/>
      <c r="C880" s="30"/>
      <c r="D880" s="30"/>
      <c r="E880" s="30"/>
      <c r="F880" s="252"/>
      <c r="G880" s="30"/>
    </row>
    <row r="881" spans="1:7" s="31" customFormat="1">
      <c r="B881" s="185"/>
      <c r="C881" s="30"/>
      <c r="D881" s="30"/>
      <c r="E881" s="30"/>
      <c r="F881" s="252"/>
      <c r="G881" s="30"/>
    </row>
    <row r="882" spans="1:7" s="31" customFormat="1">
      <c r="A882" s="239"/>
      <c r="B882" s="185"/>
      <c r="C882" s="74"/>
      <c r="D882" s="78"/>
      <c r="E882" s="30"/>
      <c r="F882" s="252"/>
      <c r="G882" s="30"/>
    </row>
    <row r="883" spans="1:7" s="31" customFormat="1">
      <c r="B883" s="185"/>
      <c r="C883" s="30"/>
      <c r="D883" s="30"/>
      <c r="E883" s="30"/>
      <c r="F883" s="252"/>
      <c r="G883" s="30"/>
    </row>
    <row r="884" spans="1:7" s="31" customFormat="1" ht="21">
      <c r="A884" s="50"/>
      <c r="B884" s="77"/>
      <c r="C884" s="248"/>
      <c r="D884" s="249"/>
      <c r="E884" s="30"/>
      <c r="F884" s="252"/>
      <c r="G884" s="30"/>
    </row>
    <row r="885" spans="1:7" s="31" customFormat="1">
      <c r="A885" s="77"/>
      <c r="B885" s="77"/>
      <c r="C885" s="248"/>
      <c r="D885" s="248"/>
      <c r="E885" s="30"/>
      <c r="F885" s="252"/>
      <c r="G885" s="30"/>
    </row>
    <row r="886" spans="1:7" s="31" customFormat="1">
      <c r="A886" s="250"/>
      <c r="B886" s="239"/>
      <c r="C886" s="74"/>
      <c r="D886" s="78"/>
      <c r="E886" s="30"/>
      <c r="F886" s="252"/>
      <c r="G886" s="30"/>
    </row>
    <row r="887" spans="1:7" s="31" customFormat="1">
      <c r="A887" s="250"/>
      <c r="B887" s="239"/>
      <c r="C887" s="74"/>
      <c r="D887" s="74"/>
      <c r="E887" s="30"/>
      <c r="F887" s="252"/>
      <c r="G887" s="30"/>
    </row>
    <row r="888" spans="1:7" s="31" customFormat="1">
      <c r="B888" s="77"/>
      <c r="C888" s="30"/>
      <c r="D888" s="42"/>
      <c r="E888" s="30"/>
      <c r="F888" s="252"/>
      <c r="G888" s="30"/>
    </row>
    <row r="889" spans="1:7" s="31" customFormat="1">
      <c r="B889" s="77"/>
      <c r="C889" s="30"/>
      <c r="D889" s="42"/>
      <c r="E889" s="30"/>
      <c r="F889" s="252"/>
      <c r="G889" s="30"/>
    </row>
    <row r="890" spans="1:7" s="31" customFormat="1">
      <c r="B890" s="77"/>
      <c r="C890" s="74"/>
      <c r="D890" s="74"/>
      <c r="E890" s="30"/>
      <c r="F890" s="252"/>
      <c r="G890" s="30"/>
    </row>
    <row r="891" spans="1:7" s="31" customFormat="1">
      <c r="A891" s="239"/>
      <c r="B891" s="185"/>
      <c r="C891" s="74"/>
      <c r="D891" s="74"/>
      <c r="E891" s="30"/>
      <c r="F891" s="252"/>
      <c r="G891" s="30"/>
    </row>
    <row r="892" spans="1:7" s="31" customFormat="1">
      <c r="A892" s="250"/>
      <c r="B892" s="239"/>
      <c r="C892" s="74"/>
      <c r="D892" s="78"/>
      <c r="E892" s="30"/>
      <c r="F892" s="252"/>
      <c r="G892" s="30"/>
    </row>
    <row r="893" spans="1:7" s="31" customFormat="1">
      <c r="A893" s="250"/>
      <c r="B893" s="239"/>
      <c r="C893" s="74"/>
      <c r="D893" s="74"/>
      <c r="E893" s="30"/>
      <c r="F893" s="252"/>
      <c r="G893" s="30"/>
    </row>
    <row r="894" spans="1:7" s="31" customFormat="1">
      <c r="B894" s="77"/>
      <c r="C894" s="30"/>
      <c r="D894" s="42"/>
      <c r="E894" s="30"/>
      <c r="F894" s="252"/>
      <c r="G894" s="30"/>
    </row>
    <row r="895" spans="1:7" s="31" customFormat="1">
      <c r="B895" s="77"/>
      <c r="C895" s="30"/>
      <c r="D895" s="42"/>
      <c r="E895" s="30"/>
      <c r="F895" s="252"/>
      <c r="G895" s="30"/>
    </row>
    <row r="896" spans="1:7" s="31" customFormat="1">
      <c r="B896" s="77"/>
      <c r="C896" s="30"/>
      <c r="D896" s="42"/>
      <c r="E896" s="30"/>
      <c r="F896" s="252"/>
      <c r="G896" s="30"/>
    </row>
    <row r="897" spans="1:7" s="31" customFormat="1">
      <c r="A897" s="239"/>
      <c r="B897" s="77"/>
      <c r="C897" s="74"/>
      <c r="D897" s="74"/>
      <c r="E897" s="30"/>
      <c r="F897" s="252"/>
      <c r="G897" s="30"/>
    </row>
    <row r="898" spans="1:7" s="31" customFormat="1">
      <c r="A898" s="239"/>
      <c r="B898" s="185"/>
      <c r="C898" s="74"/>
      <c r="D898" s="74"/>
      <c r="E898" s="74"/>
      <c r="F898" s="252"/>
      <c r="G898" s="30"/>
    </row>
    <row r="899" spans="1:7" s="31" customFormat="1">
      <c r="B899" s="77"/>
      <c r="C899" s="30"/>
      <c r="D899" s="42"/>
      <c r="E899" s="30"/>
      <c r="F899" s="247"/>
      <c r="G899" s="30"/>
    </row>
    <row r="900" spans="1:7" s="31" customFormat="1">
      <c r="B900" s="77"/>
      <c r="C900" s="30"/>
      <c r="D900" s="42"/>
      <c r="E900" s="30"/>
      <c r="F900" s="247"/>
      <c r="G900" s="30"/>
    </row>
    <row r="901" spans="1:7" s="31" customFormat="1">
      <c r="B901" s="77"/>
      <c r="C901" s="30"/>
      <c r="D901" s="42"/>
      <c r="E901" s="30"/>
      <c r="F901" s="247"/>
      <c r="G901" s="30"/>
    </row>
    <row r="902" spans="1:7" s="31" customFormat="1">
      <c r="B902" s="77"/>
      <c r="C902" s="30"/>
      <c r="D902" s="42"/>
      <c r="E902" s="30"/>
      <c r="F902" s="247"/>
      <c r="G902" s="30"/>
    </row>
    <row r="903" spans="1:7" s="31" customFormat="1">
      <c r="B903" s="77"/>
      <c r="C903" s="30"/>
      <c r="D903" s="42"/>
      <c r="E903" s="30"/>
      <c r="F903" s="247"/>
      <c r="G903" s="30"/>
    </row>
    <row r="904" spans="1:7" s="31" customFormat="1">
      <c r="B904" s="77"/>
      <c r="C904" s="30"/>
      <c r="D904" s="42"/>
      <c r="E904" s="30"/>
      <c r="F904" s="247"/>
      <c r="G904" s="30"/>
    </row>
    <row r="905" spans="1:7" s="31" customFormat="1">
      <c r="B905" s="77"/>
      <c r="C905" s="30"/>
      <c r="D905" s="42"/>
      <c r="E905" s="30"/>
      <c r="F905" s="247"/>
      <c r="G905" s="30"/>
    </row>
    <row r="906" spans="1:7" s="31" customFormat="1">
      <c r="B906" s="77"/>
      <c r="C906" s="30"/>
      <c r="D906" s="42"/>
      <c r="E906" s="30"/>
      <c r="F906" s="247"/>
      <c r="G906" s="30"/>
    </row>
    <row r="907" spans="1:7" s="31" customFormat="1">
      <c r="B907" s="77"/>
      <c r="C907" s="30"/>
      <c r="D907" s="42"/>
      <c r="E907" s="30"/>
      <c r="F907" s="247"/>
      <c r="G907" s="30"/>
    </row>
    <row r="908" spans="1:7" s="31" customFormat="1">
      <c r="B908" s="77"/>
      <c r="C908" s="30"/>
      <c r="D908" s="42"/>
      <c r="E908" s="30"/>
      <c r="F908" s="247"/>
      <c r="G908" s="30"/>
    </row>
    <row r="909" spans="1:7" s="31" customFormat="1">
      <c r="B909" s="77"/>
      <c r="C909" s="30"/>
      <c r="D909" s="42"/>
      <c r="E909" s="30"/>
      <c r="F909" s="247"/>
      <c r="G909" s="30"/>
    </row>
    <row r="910" spans="1:7" s="31" customFormat="1">
      <c r="B910" s="77"/>
      <c r="C910" s="30"/>
      <c r="D910" s="42"/>
      <c r="E910" s="30"/>
      <c r="F910" s="247"/>
      <c r="G910" s="30"/>
    </row>
    <row r="911" spans="1:7" s="31" customFormat="1">
      <c r="B911" s="77"/>
      <c r="C911" s="30"/>
      <c r="D911" s="42"/>
      <c r="E911" s="30"/>
      <c r="F911" s="247"/>
      <c r="G911" s="30"/>
    </row>
    <row r="912" spans="1:7" s="31" customFormat="1">
      <c r="B912" s="77"/>
      <c r="C912" s="30"/>
      <c r="D912" s="42"/>
      <c r="E912" s="30"/>
      <c r="F912" s="247"/>
      <c r="G912" s="30"/>
    </row>
    <row r="913" spans="2:7" s="31" customFormat="1">
      <c r="B913" s="77"/>
      <c r="C913" s="30"/>
      <c r="D913" s="42"/>
      <c r="E913" s="30"/>
      <c r="F913" s="247"/>
      <c r="G913" s="30"/>
    </row>
    <row r="914" spans="2:7" s="31" customFormat="1">
      <c r="B914" s="77"/>
      <c r="C914" s="30"/>
      <c r="D914" s="42"/>
      <c r="E914" s="30"/>
      <c r="F914" s="247"/>
      <c r="G914" s="30"/>
    </row>
    <row r="915" spans="2:7" s="31" customFormat="1">
      <c r="B915" s="77"/>
      <c r="C915" s="30"/>
      <c r="D915" s="42"/>
      <c r="E915" s="30"/>
      <c r="F915" s="247"/>
      <c r="G915" s="30"/>
    </row>
    <row r="916" spans="2:7" s="31" customFormat="1">
      <c r="B916" s="77"/>
      <c r="C916" s="30"/>
      <c r="D916" s="42"/>
      <c r="E916" s="30"/>
      <c r="F916" s="247"/>
      <c r="G916" s="30"/>
    </row>
    <row r="917" spans="2:7" s="31" customFormat="1">
      <c r="B917" s="77"/>
      <c r="C917" s="30"/>
      <c r="D917" s="42"/>
      <c r="E917" s="30"/>
      <c r="F917" s="247"/>
      <c r="G917" s="30"/>
    </row>
    <row r="918" spans="2:7" s="31" customFormat="1">
      <c r="B918" s="77"/>
      <c r="C918" s="30"/>
      <c r="D918" s="42"/>
      <c r="E918" s="30"/>
      <c r="F918" s="247"/>
      <c r="G918" s="30"/>
    </row>
    <row r="919" spans="2:7" s="31" customFormat="1">
      <c r="B919" s="77"/>
      <c r="C919" s="30"/>
      <c r="D919" s="42"/>
      <c r="E919" s="30"/>
      <c r="F919" s="247"/>
      <c r="G919" s="30"/>
    </row>
    <row r="920" spans="2:7" s="31" customFormat="1">
      <c r="B920" s="77"/>
      <c r="C920" s="30"/>
      <c r="D920" s="42"/>
      <c r="E920" s="30"/>
      <c r="F920" s="247"/>
      <c r="G920" s="30"/>
    </row>
    <row r="921" spans="2:7" s="31" customFormat="1">
      <c r="B921" s="77"/>
      <c r="C921" s="30"/>
      <c r="D921" s="42"/>
      <c r="E921" s="30"/>
      <c r="F921" s="247"/>
      <c r="G921" s="30"/>
    </row>
    <row r="922" spans="2:7" s="31" customFormat="1">
      <c r="B922" s="77"/>
      <c r="C922" s="30"/>
      <c r="D922" s="42"/>
      <c r="E922" s="30"/>
      <c r="F922" s="247"/>
      <c r="G922" s="30"/>
    </row>
    <row r="923" spans="2:7" s="31" customFormat="1">
      <c r="B923" s="77"/>
      <c r="C923" s="30"/>
      <c r="D923" s="42"/>
      <c r="E923" s="30"/>
      <c r="F923" s="247"/>
      <c r="G923" s="30"/>
    </row>
    <row r="924" spans="2:7" s="31" customFormat="1">
      <c r="B924" s="77"/>
      <c r="C924" s="30"/>
      <c r="D924" s="42"/>
      <c r="E924" s="30"/>
      <c r="F924" s="247"/>
      <c r="G924" s="30"/>
    </row>
    <row r="925" spans="2:7" s="31" customFormat="1">
      <c r="B925" s="77"/>
      <c r="C925" s="30"/>
      <c r="D925" s="42"/>
      <c r="E925" s="30"/>
      <c r="F925" s="247"/>
      <c r="G925" s="30"/>
    </row>
    <row r="926" spans="2:7" s="31" customFormat="1">
      <c r="B926" s="77"/>
      <c r="C926" s="30"/>
      <c r="D926" s="42"/>
      <c r="E926" s="30"/>
      <c r="F926" s="247"/>
      <c r="G926" s="30"/>
    </row>
    <row r="927" spans="2:7" s="31" customFormat="1">
      <c r="B927" s="77"/>
      <c r="C927" s="30"/>
      <c r="D927" s="42"/>
      <c r="E927" s="30"/>
      <c r="F927" s="247"/>
      <c r="G927" s="30"/>
    </row>
    <row r="928" spans="2:7" s="31" customFormat="1">
      <c r="B928" s="77"/>
      <c r="C928" s="30"/>
      <c r="D928" s="42"/>
      <c r="E928" s="30"/>
      <c r="F928" s="247"/>
      <c r="G928" s="30"/>
    </row>
    <row r="929" spans="1:7" s="31" customFormat="1" ht="21">
      <c r="A929" s="307"/>
      <c r="B929" s="307"/>
      <c r="C929" s="307"/>
      <c r="D929" s="307"/>
      <c r="E929" s="30"/>
      <c r="F929" s="247"/>
      <c r="G929" s="30"/>
    </row>
    <row r="930" spans="1:7" s="31" customFormat="1" ht="21">
      <c r="A930" s="307"/>
      <c r="B930" s="307"/>
      <c r="C930" s="307"/>
      <c r="D930" s="307"/>
      <c r="E930" s="30"/>
      <c r="F930" s="247"/>
      <c r="G930" s="30"/>
    </row>
    <row r="931" spans="1:7" s="31" customFormat="1" ht="21">
      <c r="A931" s="307"/>
      <c r="B931" s="307"/>
      <c r="C931" s="307"/>
      <c r="D931" s="307"/>
      <c r="E931" s="30"/>
      <c r="F931" s="247"/>
      <c r="G931" s="30"/>
    </row>
    <row r="932" spans="1:7" s="31" customFormat="1" ht="21">
      <c r="A932" s="50"/>
      <c r="B932" s="77"/>
      <c r="C932" s="248"/>
      <c r="D932" s="249"/>
      <c r="E932" s="30"/>
      <c r="F932" s="247"/>
      <c r="G932" s="30"/>
    </row>
    <row r="933" spans="1:7" s="31" customFormat="1">
      <c r="A933" s="77"/>
      <c r="B933" s="77"/>
      <c r="C933" s="248"/>
      <c r="D933" s="248"/>
      <c r="E933" s="30"/>
      <c r="F933" s="247"/>
      <c r="G933" s="30"/>
    </row>
    <row r="934" spans="1:7" s="31" customFormat="1">
      <c r="A934" s="250"/>
      <c r="B934" s="77"/>
      <c r="C934" s="30"/>
      <c r="D934" s="42"/>
      <c r="E934" s="30"/>
      <c r="F934" s="247"/>
      <c r="G934" s="30"/>
    </row>
    <row r="935" spans="1:7" s="31" customFormat="1">
      <c r="A935" s="250"/>
      <c r="B935" s="251"/>
      <c r="C935" s="74"/>
      <c r="D935" s="74"/>
      <c r="E935" s="30"/>
      <c r="F935" s="247"/>
      <c r="G935" s="30"/>
    </row>
    <row r="936" spans="1:7" s="31" customFormat="1">
      <c r="A936" s="83"/>
      <c r="B936" s="185"/>
      <c r="C936" s="30"/>
      <c r="D936" s="42"/>
      <c r="E936" s="30"/>
      <c r="F936" s="252"/>
      <c r="G936" s="30"/>
    </row>
    <row r="937" spans="1:7" s="31" customFormat="1">
      <c r="A937" s="83"/>
      <c r="B937" s="185"/>
      <c r="C937" s="30"/>
      <c r="D937" s="42"/>
      <c r="E937" s="30"/>
      <c r="F937" s="252"/>
      <c r="G937" s="30"/>
    </row>
    <row r="938" spans="1:7" s="31" customFormat="1">
      <c r="A938" s="83"/>
      <c r="B938" s="185"/>
      <c r="C938" s="30"/>
      <c r="D938" s="42"/>
      <c r="E938" s="30"/>
      <c r="F938" s="252"/>
      <c r="G938" s="30"/>
    </row>
    <row r="939" spans="1:7" s="31" customFormat="1">
      <c r="A939" s="83"/>
      <c r="B939" s="185"/>
      <c r="C939" s="30"/>
      <c r="D939" s="42"/>
      <c r="E939" s="30"/>
      <c r="F939" s="252"/>
      <c r="G939" s="30"/>
    </row>
    <row r="940" spans="1:7" s="31" customFormat="1">
      <c r="A940" s="239"/>
      <c r="B940" s="185"/>
      <c r="C940" s="74"/>
      <c r="D940" s="74"/>
      <c r="E940" s="30"/>
      <c r="F940" s="252"/>
      <c r="G940" s="30"/>
    </row>
    <row r="941" spans="1:7" s="31" customFormat="1">
      <c r="A941" s="250"/>
      <c r="B941" s="251"/>
      <c r="C941" s="74"/>
      <c r="D941" s="74"/>
      <c r="E941" s="30"/>
      <c r="F941" s="252"/>
      <c r="G941" s="30"/>
    </row>
    <row r="942" spans="1:7" s="31" customFormat="1">
      <c r="A942" s="83"/>
      <c r="B942" s="185"/>
      <c r="C942" s="30"/>
      <c r="D942" s="186"/>
      <c r="E942" s="30"/>
      <c r="F942" s="252"/>
      <c r="G942" s="30"/>
    </row>
    <row r="943" spans="1:7" s="31" customFormat="1">
      <c r="A943" s="83"/>
      <c r="B943" s="185"/>
      <c r="C943" s="30"/>
      <c r="D943" s="186"/>
      <c r="E943" s="30"/>
      <c r="F943" s="252"/>
      <c r="G943" s="30"/>
    </row>
    <row r="944" spans="1:7" s="31" customFormat="1">
      <c r="B944" s="185"/>
      <c r="C944" s="30"/>
      <c r="D944" s="186"/>
      <c r="E944" s="30"/>
      <c r="F944" s="252"/>
      <c r="G944" s="30"/>
    </row>
    <row r="945" spans="1:7" s="31" customFormat="1">
      <c r="B945" s="185"/>
      <c r="C945" s="30"/>
      <c r="D945" s="186"/>
      <c r="E945" s="30"/>
      <c r="F945" s="252"/>
      <c r="G945" s="30"/>
    </row>
    <row r="946" spans="1:7" s="31" customFormat="1">
      <c r="A946" s="131"/>
      <c r="B946" s="185"/>
      <c r="C946" s="30"/>
      <c r="D946" s="186"/>
      <c r="E946" s="30"/>
      <c r="F946" s="252"/>
      <c r="G946" s="30"/>
    </row>
    <row r="947" spans="1:7" s="31" customFormat="1">
      <c r="B947" s="185"/>
      <c r="C947" s="30"/>
      <c r="D947" s="186"/>
      <c r="E947" s="30"/>
      <c r="F947" s="252"/>
      <c r="G947" s="30"/>
    </row>
    <row r="948" spans="1:7" s="31" customFormat="1">
      <c r="B948" s="185"/>
      <c r="C948" s="30"/>
      <c r="D948" s="186"/>
      <c r="E948" s="30"/>
      <c r="F948" s="252"/>
      <c r="G948" s="30"/>
    </row>
    <row r="949" spans="1:7" s="31" customFormat="1">
      <c r="B949" s="185"/>
      <c r="C949" s="30"/>
      <c r="D949" s="186"/>
      <c r="E949" s="30"/>
      <c r="F949" s="252"/>
      <c r="G949" s="30"/>
    </row>
    <row r="950" spans="1:7" s="31" customFormat="1">
      <c r="B950" s="185"/>
      <c r="C950" s="30"/>
      <c r="D950" s="186"/>
      <c r="E950" s="30"/>
      <c r="F950" s="252"/>
      <c r="G950" s="30"/>
    </row>
    <row r="951" spans="1:7" s="31" customFormat="1">
      <c r="B951" s="185"/>
      <c r="C951" s="30"/>
      <c r="D951" s="186"/>
      <c r="E951" s="30"/>
      <c r="F951" s="252"/>
      <c r="G951" s="30"/>
    </row>
    <row r="952" spans="1:7" s="31" customFormat="1">
      <c r="B952" s="185"/>
      <c r="C952" s="30"/>
      <c r="D952" s="186"/>
      <c r="E952" s="30"/>
      <c r="F952" s="252"/>
      <c r="G952" s="30"/>
    </row>
    <row r="953" spans="1:7" s="31" customFormat="1">
      <c r="A953" s="239"/>
      <c r="B953" s="185"/>
      <c r="C953" s="74"/>
      <c r="D953" s="74"/>
      <c r="E953" s="30"/>
      <c r="F953" s="252"/>
      <c r="G953" s="30"/>
    </row>
    <row r="954" spans="1:7" s="31" customFormat="1">
      <c r="A954" s="250"/>
      <c r="B954" s="251"/>
      <c r="C954" s="74"/>
      <c r="D954" s="74"/>
      <c r="E954" s="30"/>
      <c r="F954" s="252"/>
      <c r="G954" s="30"/>
    </row>
    <row r="955" spans="1:7" s="31" customFormat="1">
      <c r="B955" s="185"/>
      <c r="C955" s="30"/>
      <c r="D955" s="42"/>
      <c r="E955" s="30"/>
      <c r="F955" s="252"/>
      <c r="G955" s="30"/>
    </row>
    <row r="956" spans="1:7" s="31" customFormat="1">
      <c r="A956" s="239"/>
      <c r="B956" s="185"/>
      <c r="C956" s="74"/>
      <c r="D956" s="74"/>
      <c r="E956" s="30"/>
      <c r="F956" s="252"/>
      <c r="G956" s="30"/>
    </row>
    <row r="957" spans="1:7" s="31" customFormat="1">
      <c r="A957" s="250"/>
      <c r="B957" s="251"/>
      <c r="C957" s="74"/>
      <c r="D957" s="74"/>
      <c r="E957" s="30"/>
      <c r="F957" s="252"/>
      <c r="G957" s="30"/>
    </row>
    <row r="958" spans="1:7" s="31" customFormat="1">
      <c r="B958" s="185"/>
      <c r="C958" s="30"/>
      <c r="D958" s="42"/>
      <c r="E958" s="30"/>
      <c r="F958" s="252"/>
      <c r="G958" s="30"/>
    </row>
    <row r="959" spans="1:7" s="31" customFormat="1">
      <c r="B959" s="185"/>
      <c r="C959" s="30"/>
      <c r="D959" s="42"/>
      <c r="E959" s="30"/>
      <c r="F959" s="252"/>
      <c r="G959" s="30"/>
    </row>
    <row r="960" spans="1:7" s="31" customFormat="1">
      <c r="A960" s="239"/>
      <c r="B960" s="185"/>
      <c r="C960" s="74"/>
      <c r="D960" s="74"/>
      <c r="E960" s="30"/>
      <c r="F960" s="252"/>
      <c r="G960" s="30"/>
    </row>
    <row r="961" spans="1:7" s="31" customFormat="1">
      <c r="A961" s="250"/>
      <c r="B961" s="185"/>
      <c r="C961" s="74"/>
      <c r="D961" s="74"/>
      <c r="E961" s="30"/>
      <c r="F961" s="252"/>
      <c r="G961" s="30"/>
    </row>
    <row r="962" spans="1:7" s="31" customFormat="1">
      <c r="A962" s="250"/>
      <c r="B962" s="185"/>
      <c r="C962" s="74"/>
      <c r="D962" s="74"/>
      <c r="E962" s="30"/>
      <c r="F962" s="252"/>
      <c r="G962" s="30"/>
    </row>
    <row r="963" spans="1:7" s="31" customFormat="1">
      <c r="B963" s="185"/>
      <c r="C963" s="30"/>
      <c r="D963" s="30"/>
      <c r="E963" s="30"/>
      <c r="F963" s="252"/>
      <c r="G963" s="30"/>
    </row>
    <row r="964" spans="1:7" s="31" customFormat="1">
      <c r="B964" s="185"/>
      <c r="C964" s="30"/>
      <c r="D964" s="30"/>
      <c r="E964" s="30"/>
      <c r="F964" s="252"/>
      <c r="G964" s="30"/>
    </row>
    <row r="965" spans="1:7" s="31" customFormat="1">
      <c r="B965" s="185"/>
      <c r="C965" s="30"/>
      <c r="D965" s="30"/>
      <c r="E965" s="30"/>
      <c r="F965" s="252"/>
      <c r="G965" s="30"/>
    </row>
    <row r="966" spans="1:7" s="31" customFormat="1">
      <c r="B966" s="185"/>
      <c r="C966" s="30"/>
      <c r="D966" s="30"/>
      <c r="E966" s="30"/>
      <c r="F966" s="252"/>
      <c r="G966" s="30"/>
    </row>
    <row r="967" spans="1:7" s="31" customFormat="1">
      <c r="B967" s="185"/>
      <c r="C967" s="30"/>
      <c r="D967" s="30"/>
      <c r="E967" s="30"/>
      <c r="F967" s="252"/>
      <c r="G967" s="30"/>
    </row>
    <row r="968" spans="1:7" s="31" customFormat="1">
      <c r="B968" s="185"/>
      <c r="C968" s="30"/>
      <c r="D968" s="30"/>
      <c r="E968" s="30"/>
      <c r="F968" s="252"/>
      <c r="G968" s="30"/>
    </row>
    <row r="969" spans="1:7" s="31" customFormat="1">
      <c r="B969" s="185"/>
      <c r="C969" s="30"/>
      <c r="D969" s="30"/>
      <c r="E969" s="30"/>
      <c r="F969" s="252"/>
      <c r="G969" s="30"/>
    </row>
    <row r="970" spans="1:7" s="31" customFormat="1">
      <c r="B970" s="185"/>
      <c r="C970" s="30"/>
      <c r="D970" s="30"/>
      <c r="E970" s="30"/>
      <c r="F970" s="252"/>
      <c r="G970" s="30"/>
    </row>
    <row r="971" spans="1:7" s="31" customFormat="1">
      <c r="B971" s="185"/>
      <c r="C971" s="30"/>
      <c r="D971" s="30"/>
      <c r="E971" s="30"/>
      <c r="F971" s="252"/>
      <c r="G971" s="30"/>
    </row>
    <row r="972" spans="1:7" s="31" customFormat="1">
      <c r="A972" s="239"/>
      <c r="B972" s="185"/>
      <c r="C972" s="74"/>
      <c r="D972" s="78"/>
      <c r="E972" s="30"/>
      <c r="F972" s="252"/>
      <c r="G972" s="30"/>
    </row>
    <row r="973" spans="1:7" s="31" customFormat="1">
      <c r="B973" s="185"/>
      <c r="C973" s="30"/>
      <c r="D973" s="30"/>
      <c r="E973" s="30"/>
      <c r="F973" s="252"/>
      <c r="G973" s="30"/>
    </row>
    <row r="974" spans="1:7" s="31" customFormat="1" ht="21">
      <c r="A974" s="50"/>
      <c r="B974" s="77"/>
      <c r="C974" s="248"/>
      <c r="D974" s="249"/>
      <c r="E974" s="30"/>
      <c r="F974" s="252"/>
      <c r="G974" s="30"/>
    </row>
    <row r="975" spans="1:7" s="31" customFormat="1">
      <c r="A975" s="77"/>
      <c r="B975" s="77"/>
      <c r="C975" s="248"/>
      <c r="D975" s="248"/>
      <c r="E975" s="30"/>
      <c r="F975" s="252"/>
      <c r="G975" s="30"/>
    </row>
    <row r="976" spans="1:7" s="31" customFormat="1">
      <c r="A976" s="250"/>
      <c r="B976" s="239"/>
      <c r="C976" s="74"/>
      <c r="D976" s="78"/>
      <c r="E976" s="30"/>
      <c r="F976" s="252"/>
      <c r="G976" s="30"/>
    </row>
    <row r="977" spans="1:7" s="31" customFormat="1">
      <c r="A977" s="250"/>
      <c r="B977" s="239"/>
      <c r="C977" s="74"/>
      <c r="D977" s="74"/>
      <c r="E977" s="30"/>
      <c r="F977" s="252"/>
      <c r="G977" s="30"/>
    </row>
    <row r="978" spans="1:7" s="31" customFormat="1">
      <c r="B978" s="77"/>
      <c r="C978" s="30"/>
      <c r="D978" s="42"/>
      <c r="E978" s="30"/>
      <c r="F978" s="252"/>
      <c r="G978" s="30"/>
    </row>
    <row r="979" spans="1:7" s="31" customFormat="1">
      <c r="B979" s="77"/>
      <c r="C979" s="30"/>
      <c r="D979" s="42"/>
      <c r="E979" s="30"/>
      <c r="F979" s="252"/>
      <c r="G979" s="30"/>
    </row>
    <row r="980" spans="1:7" s="31" customFormat="1">
      <c r="B980" s="77"/>
      <c r="C980" s="74"/>
      <c r="D980" s="74"/>
      <c r="E980" s="30"/>
      <c r="F980" s="252"/>
      <c r="G980" s="30"/>
    </row>
    <row r="981" spans="1:7" s="31" customFormat="1">
      <c r="A981" s="239"/>
      <c r="B981" s="185"/>
      <c r="C981" s="74"/>
      <c r="D981" s="74"/>
      <c r="E981" s="30"/>
      <c r="F981" s="252"/>
      <c r="G981" s="30"/>
    </row>
    <row r="982" spans="1:7" s="31" customFormat="1">
      <c r="A982" s="250"/>
      <c r="B982" s="239"/>
      <c r="C982" s="74"/>
      <c r="D982" s="78"/>
      <c r="E982" s="30"/>
      <c r="F982" s="252"/>
      <c r="G982" s="30"/>
    </row>
    <row r="983" spans="1:7" s="31" customFormat="1">
      <c r="A983" s="250"/>
      <c r="B983" s="239"/>
      <c r="C983" s="74"/>
      <c r="D983" s="74"/>
      <c r="E983" s="30"/>
      <c r="F983" s="252"/>
      <c r="G983" s="30"/>
    </row>
    <row r="984" spans="1:7" s="31" customFormat="1">
      <c r="B984" s="77"/>
      <c r="C984" s="30"/>
      <c r="D984" s="42"/>
      <c r="E984" s="30"/>
      <c r="F984" s="252"/>
      <c r="G984" s="30"/>
    </row>
    <row r="985" spans="1:7" s="31" customFormat="1">
      <c r="B985" s="77"/>
      <c r="C985" s="30"/>
      <c r="D985" s="42"/>
      <c r="E985" s="30"/>
      <c r="F985" s="252"/>
      <c r="G985" s="30"/>
    </row>
    <row r="986" spans="1:7" s="31" customFormat="1">
      <c r="B986" s="77"/>
      <c r="C986" s="30"/>
      <c r="D986" s="42"/>
      <c r="E986" s="30"/>
      <c r="F986" s="252"/>
      <c r="G986" s="30"/>
    </row>
    <row r="987" spans="1:7" s="31" customFormat="1">
      <c r="A987" s="239"/>
      <c r="B987" s="77"/>
      <c r="C987" s="74"/>
      <c r="D987" s="74"/>
      <c r="E987" s="30"/>
      <c r="F987" s="252"/>
      <c r="G987" s="30"/>
    </row>
    <row r="988" spans="1:7" s="31" customFormat="1">
      <c r="A988" s="239"/>
      <c r="B988" s="185"/>
      <c r="C988" s="74"/>
      <c r="D988" s="74"/>
      <c r="E988" s="74"/>
      <c r="F988" s="252"/>
      <c r="G988" s="30"/>
    </row>
    <row r="989" spans="1:7" s="31" customFormat="1">
      <c r="B989" s="77"/>
      <c r="C989" s="30"/>
      <c r="D989" s="42"/>
      <c r="E989" s="30"/>
      <c r="F989" s="247"/>
      <c r="G989" s="30"/>
    </row>
    <row r="990" spans="1:7" s="31" customFormat="1">
      <c r="B990" s="77"/>
      <c r="C990" s="30"/>
      <c r="D990" s="42"/>
      <c r="E990" s="30"/>
      <c r="F990" s="247"/>
      <c r="G990" s="30"/>
    </row>
    <row r="991" spans="1:7" s="31" customFormat="1">
      <c r="B991" s="77"/>
      <c r="C991" s="30"/>
      <c r="D991" s="42"/>
      <c r="E991" s="30"/>
      <c r="F991" s="247"/>
      <c r="G991" s="30"/>
    </row>
    <row r="992" spans="1:7" s="31" customFormat="1">
      <c r="B992" s="77"/>
      <c r="C992" s="30"/>
      <c r="D992" s="42"/>
      <c r="E992" s="30"/>
      <c r="F992" s="247"/>
      <c r="G992" s="30"/>
    </row>
    <row r="993" spans="2:7" s="31" customFormat="1">
      <c r="B993" s="77"/>
      <c r="C993" s="30"/>
      <c r="D993" s="42"/>
      <c r="E993" s="30"/>
      <c r="F993" s="247"/>
      <c r="G993" s="30"/>
    </row>
    <row r="994" spans="2:7" s="31" customFormat="1">
      <c r="B994" s="77"/>
      <c r="C994" s="30"/>
      <c r="D994" s="42"/>
      <c r="E994" s="30"/>
      <c r="F994" s="247"/>
      <c r="G994" s="30"/>
    </row>
    <row r="995" spans="2:7" s="31" customFormat="1">
      <c r="B995" s="77"/>
      <c r="C995" s="30"/>
      <c r="D995" s="42"/>
      <c r="E995" s="30"/>
      <c r="F995" s="247"/>
      <c r="G995" s="30"/>
    </row>
    <row r="996" spans="2:7" s="31" customFormat="1">
      <c r="B996" s="77"/>
      <c r="C996" s="30"/>
      <c r="D996" s="42"/>
      <c r="E996" s="30"/>
      <c r="F996" s="247"/>
      <c r="G996" s="30"/>
    </row>
    <row r="997" spans="2:7" s="31" customFormat="1">
      <c r="B997" s="77"/>
      <c r="C997" s="30"/>
      <c r="D997" s="42"/>
      <c r="E997" s="30"/>
      <c r="F997" s="247"/>
      <c r="G997" s="30"/>
    </row>
    <row r="998" spans="2:7" s="31" customFormat="1">
      <c r="B998" s="77"/>
      <c r="C998" s="30"/>
      <c r="D998" s="42"/>
      <c r="E998" s="30"/>
      <c r="F998" s="247"/>
      <c r="G998" s="30"/>
    </row>
    <row r="999" spans="2:7" s="31" customFormat="1">
      <c r="B999" s="77"/>
      <c r="C999" s="30"/>
      <c r="D999" s="42"/>
      <c r="E999" s="30"/>
      <c r="F999" s="247"/>
      <c r="G999" s="30"/>
    </row>
    <row r="1000" spans="2:7" s="31" customFormat="1">
      <c r="B1000" s="77"/>
      <c r="C1000" s="30"/>
      <c r="D1000" s="42"/>
      <c r="E1000" s="30"/>
      <c r="F1000" s="247"/>
      <c r="G1000" s="30"/>
    </row>
    <row r="1001" spans="2:7" s="31" customFormat="1">
      <c r="B1001" s="77"/>
      <c r="C1001" s="30"/>
      <c r="D1001" s="42"/>
      <c r="E1001" s="30"/>
      <c r="F1001" s="247"/>
      <c r="G1001" s="30"/>
    </row>
    <row r="1002" spans="2:7" s="31" customFormat="1">
      <c r="B1002" s="77"/>
      <c r="C1002" s="30"/>
      <c r="D1002" s="42"/>
      <c r="E1002" s="30"/>
      <c r="F1002" s="247"/>
      <c r="G1002" s="30"/>
    </row>
    <row r="1003" spans="2:7" s="31" customFormat="1">
      <c r="B1003" s="77"/>
      <c r="C1003" s="30"/>
      <c r="D1003" s="42"/>
      <c r="E1003" s="30"/>
      <c r="F1003" s="247"/>
      <c r="G1003" s="30"/>
    </row>
    <row r="1004" spans="2:7" s="31" customFormat="1">
      <c r="B1004" s="77"/>
      <c r="C1004" s="30"/>
      <c r="D1004" s="42"/>
      <c r="E1004" s="30"/>
      <c r="F1004" s="247"/>
      <c r="G1004" s="30"/>
    </row>
    <row r="1005" spans="2:7" s="31" customFormat="1">
      <c r="B1005" s="77"/>
      <c r="C1005" s="30"/>
      <c r="D1005" s="42"/>
      <c r="E1005" s="30"/>
      <c r="F1005" s="247"/>
      <c r="G1005" s="30"/>
    </row>
    <row r="1006" spans="2:7" s="31" customFormat="1">
      <c r="B1006" s="77"/>
      <c r="C1006" s="30"/>
      <c r="D1006" s="42"/>
      <c r="E1006" s="30"/>
      <c r="F1006" s="247"/>
      <c r="G1006" s="30"/>
    </row>
    <row r="1007" spans="2:7" s="31" customFormat="1">
      <c r="B1007" s="77"/>
      <c r="C1007" s="30"/>
      <c r="D1007" s="42"/>
      <c r="E1007" s="30"/>
      <c r="F1007" s="247"/>
      <c r="G1007" s="30"/>
    </row>
    <row r="1008" spans="2:7" s="31" customFormat="1">
      <c r="B1008" s="77"/>
      <c r="C1008" s="30"/>
      <c r="D1008" s="42"/>
      <c r="E1008" s="30"/>
      <c r="F1008" s="247"/>
      <c r="G1008" s="30"/>
    </row>
    <row r="1009" spans="2:7" s="31" customFormat="1">
      <c r="B1009" s="77"/>
      <c r="C1009" s="30"/>
      <c r="D1009" s="42"/>
      <c r="E1009" s="30"/>
      <c r="F1009" s="247"/>
      <c r="G1009" s="30"/>
    </row>
    <row r="1010" spans="2:7" s="31" customFormat="1">
      <c r="B1010" s="77"/>
      <c r="C1010" s="30"/>
      <c r="D1010" s="42"/>
      <c r="E1010" s="30"/>
      <c r="F1010" s="247"/>
      <c r="G1010" s="30"/>
    </row>
    <row r="1011" spans="2:7" s="31" customFormat="1">
      <c r="B1011" s="77"/>
      <c r="C1011" s="30"/>
      <c r="D1011" s="42"/>
      <c r="E1011" s="30"/>
      <c r="F1011" s="247"/>
      <c r="G1011" s="30"/>
    </row>
    <row r="1012" spans="2:7" s="31" customFormat="1">
      <c r="B1012" s="77"/>
      <c r="C1012" s="30"/>
      <c r="D1012" s="42"/>
      <c r="E1012" s="30"/>
      <c r="F1012" s="247"/>
      <c r="G1012" s="30"/>
    </row>
    <row r="1013" spans="2:7" s="31" customFormat="1">
      <c r="B1013" s="77"/>
      <c r="C1013" s="30"/>
      <c r="D1013" s="42"/>
      <c r="E1013" s="30"/>
      <c r="F1013" s="247"/>
      <c r="G1013" s="30"/>
    </row>
    <row r="1014" spans="2:7" s="31" customFormat="1">
      <c r="B1014" s="77"/>
      <c r="C1014" s="30"/>
      <c r="D1014" s="42"/>
      <c r="E1014" s="30"/>
      <c r="F1014" s="247"/>
      <c r="G1014" s="30"/>
    </row>
    <row r="1015" spans="2:7" s="31" customFormat="1">
      <c r="B1015" s="77"/>
      <c r="C1015" s="30"/>
      <c r="D1015" s="42"/>
      <c r="E1015" s="30"/>
      <c r="F1015" s="247"/>
      <c r="G1015" s="30"/>
    </row>
    <row r="1016" spans="2:7" s="31" customFormat="1">
      <c r="B1016" s="77"/>
      <c r="C1016" s="30"/>
      <c r="D1016" s="42"/>
      <c r="E1016" s="30"/>
      <c r="F1016" s="247"/>
      <c r="G1016" s="30"/>
    </row>
    <row r="1017" spans="2:7" s="31" customFormat="1">
      <c r="B1017" s="77"/>
      <c r="C1017" s="30"/>
      <c r="D1017" s="42"/>
      <c r="E1017" s="30"/>
      <c r="F1017" s="247"/>
      <c r="G1017" s="30"/>
    </row>
    <row r="1018" spans="2:7" s="31" customFormat="1">
      <c r="B1018" s="77"/>
      <c r="C1018" s="30"/>
      <c r="D1018" s="42"/>
      <c r="E1018" s="30"/>
      <c r="F1018" s="247"/>
      <c r="G1018" s="30"/>
    </row>
  </sheetData>
  <mergeCells count="33">
    <mergeCell ref="A1:D1"/>
    <mergeCell ref="A3:D3"/>
    <mergeCell ref="A2:D2"/>
    <mergeCell ref="A91:D91"/>
    <mergeCell ref="A92:D92"/>
    <mergeCell ref="A93:D93"/>
    <mergeCell ref="A181:D181"/>
    <mergeCell ref="A182:D182"/>
    <mergeCell ref="A183:D183"/>
    <mergeCell ref="A271:D271"/>
    <mergeCell ref="A451:D451"/>
    <mergeCell ref="A452:D452"/>
    <mergeCell ref="A453:D453"/>
    <mergeCell ref="A541:D541"/>
    <mergeCell ref="A542:D542"/>
    <mergeCell ref="A272:D272"/>
    <mergeCell ref="A273:D273"/>
    <mergeCell ref="A361:D361"/>
    <mergeCell ref="A362:D362"/>
    <mergeCell ref="A363:D363"/>
    <mergeCell ref="A543:D543"/>
    <mergeCell ref="A931:D931"/>
    <mergeCell ref="A839:D839"/>
    <mergeCell ref="A840:D840"/>
    <mergeCell ref="A841:D841"/>
    <mergeCell ref="A749:D749"/>
    <mergeCell ref="A750:D750"/>
    <mergeCell ref="A751:D751"/>
    <mergeCell ref="A929:D929"/>
    <mergeCell ref="A930:D930"/>
    <mergeCell ref="A631:D631"/>
    <mergeCell ref="A632:D632"/>
    <mergeCell ref="A633:D633"/>
  </mergeCells>
  <pageMargins left="0.43" right="0.7" top="0.22" bottom="0.2" header="0.22" footer="0.16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I314"/>
  <sheetViews>
    <sheetView topLeftCell="A297" zoomScaleNormal="100" workbookViewId="0">
      <selection activeCell="F310" sqref="F310"/>
    </sheetView>
  </sheetViews>
  <sheetFormatPr defaultRowHeight="18.75"/>
  <cols>
    <col min="1" max="7" width="9.140625" style="2"/>
    <col min="8" max="8" width="16.7109375" style="2" customWidth="1"/>
    <col min="9" max="9" width="17.140625" style="2" customWidth="1"/>
    <col min="10" max="16384" width="9.140625" style="2"/>
  </cols>
  <sheetData>
    <row r="1" spans="1:9" ht="21">
      <c r="A1" s="309" t="s">
        <v>25</v>
      </c>
      <c r="B1" s="309"/>
      <c r="C1" s="309"/>
      <c r="D1" s="309"/>
      <c r="E1" s="309"/>
      <c r="F1" s="309"/>
      <c r="G1" s="309"/>
      <c r="H1" s="309"/>
      <c r="I1" s="309"/>
    </row>
    <row r="2" spans="1:9" ht="21">
      <c r="A2" s="309" t="s">
        <v>127</v>
      </c>
      <c r="B2" s="309"/>
      <c r="C2" s="309"/>
      <c r="D2" s="309"/>
      <c r="E2" s="309"/>
      <c r="F2" s="309"/>
      <c r="G2" s="309"/>
      <c r="H2" s="309"/>
      <c r="I2" s="309"/>
    </row>
    <row r="3" spans="1:9" ht="21">
      <c r="A3" s="309" t="s">
        <v>209</v>
      </c>
      <c r="B3" s="309"/>
      <c r="C3" s="309"/>
      <c r="D3" s="309"/>
      <c r="E3" s="309"/>
      <c r="F3" s="309"/>
      <c r="G3" s="309"/>
      <c r="H3" s="309"/>
      <c r="I3" s="309"/>
    </row>
    <row r="4" spans="1:9" ht="21">
      <c r="A4" s="48" t="s">
        <v>128</v>
      </c>
      <c r="B4" s="81"/>
      <c r="C4" s="81"/>
      <c r="D4" s="1"/>
      <c r="E4" s="1"/>
      <c r="F4" s="1"/>
      <c r="G4" s="1"/>
      <c r="H4" s="44"/>
      <c r="I4" s="44"/>
    </row>
    <row r="5" spans="1:9" ht="21">
      <c r="A5" s="141" t="s">
        <v>129</v>
      </c>
      <c r="B5" s="81"/>
      <c r="C5" s="81"/>
      <c r="D5" s="81"/>
      <c r="E5" s="81"/>
      <c r="F5" s="81"/>
      <c r="G5" s="81"/>
      <c r="H5" s="52"/>
      <c r="I5" s="82" t="s">
        <v>26</v>
      </c>
    </row>
    <row r="6" spans="1:9" ht="21">
      <c r="A6" s="51" t="s">
        <v>210</v>
      </c>
      <c r="B6" s="1"/>
      <c r="C6" s="1"/>
      <c r="D6" s="1"/>
      <c r="E6" s="1"/>
      <c r="F6" s="1"/>
      <c r="G6" s="1"/>
      <c r="H6" s="44"/>
      <c r="I6" s="47">
        <v>3620000</v>
      </c>
    </row>
    <row r="7" spans="1:9" ht="21">
      <c r="A7" s="51" t="s">
        <v>185</v>
      </c>
      <c r="B7" s="1"/>
      <c r="C7" s="1"/>
      <c r="D7" s="1"/>
      <c r="E7" s="1"/>
      <c r="F7" s="1"/>
      <c r="G7" s="1"/>
      <c r="H7" s="44"/>
      <c r="I7" s="47">
        <v>752375</v>
      </c>
    </row>
    <row r="8" spans="1:9" ht="21">
      <c r="A8" s="51" t="s">
        <v>63</v>
      </c>
      <c r="B8" s="1"/>
      <c r="C8" s="1"/>
      <c r="D8" s="1"/>
      <c r="E8" s="1"/>
      <c r="F8" s="1"/>
      <c r="G8" s="1"/>
      <c r="H8" s="44"/>
      <c r="I8" s="47">
        <v>0</v>
      </c>
    </row>
    <row r="9" spans="1:9" ht="21">
      <c r="A9" s="51" t="s">
        <v>78</v>
      </c>
      <c r="B9" s="1"/>
      <c r="C9" s="1"/>
      <c r="D9" s="1"/>
      <c r="E9" s="1"/>
      <c r="F9" s="1"/>
      <c r="G9" s="1"/>
      <c r="H9" s="44"/>
      <c r="I9" s="47">
        <v>0</v>
      </c>
    </row>
    <row r="10" spans="1:9" ht="21">
      <c r="A10" s="51" t="s">
        <v>184</v>
      </c>
      <c r="B10" s="1"/>
      <c r="C10" s="1"/>
      <c r="D10" s="1"/>
      <c r="E10" s="1"/>
      <c r="F10" s="1"/>
      <c r="G10" s="1"/>
      <c r="H10" s="44"/>
      <c r="I10" s="47">
        <v>0</v>
      </c>
    </row>
    <row r="11" spans="1:9" ht="21">
      <c r="A11" s="51" t="s">
        <v>211</v>
      </c>
      <c r="B11" s="1"/>
      <c r="C11" s="1"/>
      <c r="D11" s="1"/>
      <c r="E11" s="1"/>
      <c r="F11" s="1"/>
      <c r="G11" s="1"/>
      <c r="H11" s="44"/>
      <c r="I11" s="47">
        <v>0</v>
      </c>
    </row>
    <row r="12" spans="1:9" ht="21">
      <c r="A12" s="51" t="s">
        <v>212</v>
      </c>
      <c r="B12" s="1"/>
      <c r="C12" s="1"/>
      <c r="D12" s="1"/>
      <c r="E12" s="1"/>
      <c r="F12" s="1"/>
      <c r="G12" s="1"/>
      <c r="H12" s="44"/>
      <c r="I12" s="47">
        <v>0</v>
      </c>
    </row>
    <row r="13" spans="1:9" ht="21">
      <c r="A13" s="51" t="s">
        <v>213</v>
      </c>
      <c r="B13" s="1"/>
      <c r="C13" s="1"/>
      <c r="D13" s="1"/>
      <c r="E13" s="1"/>
      <c r="F13" s="1"/>
      <c r="G13" s="1"/>
      <c r="H13" s="44"/>
      <c r="I13" s="47">
        <v>166000</v>
      </c>
    </row>
    <row r="14" spans="1:9" ht="21">
      <c r="A14" s="51" t="s">
        <v>214</v>
      </c>
      <c r="B14" s="1"/>
      <c r="C14" s="1"/>
      <c r="D14" s="1"/>
      <c r="E14" s="1"/>
      <c r="F14" s="1"/>
      <c r="G14" s="1"/>
      <c r="H14" s="44"/>
      <c r="I14" s="47">
        <v>0</v>
      </c>
    </row>
    <row r="15" spans="1:9" ht="21">
      <c r="A15" s="51" t="s">
        <v>215</v>
      </c>
      <c r="B15" s="1"/>
      <c r="C15" s="1"/>
      <c r="D15" s="1"/>
      <c r="E15" s="1"/>
      <c r="F15" s="1"/>
      <c r="G15" s="1"/>
      <c r="H15" s="44"/>
      <c r="I15" s="47">
        <v>0</v>
      </c>
    </row>
    <row r="16" spans="1:9" ht="21">
      <c r="A16" s="51" t="s">
        <v>216</v>
      </c>
      <c r="B16" s="1"/>
      <c r="C16" s="1"/>
      <c r="D16" s="1"/>
      <c r="E16" s="1"/>
      <c r="F16" s="1"/>
      <c r="G16" s="1"/>
      <c r="H16" s="44"/>
      <c r="I16" s="47">
        <v>445000</v>
      </c>
    </row>
    <row r="17" spans="1:9" ht="21">
      <c r="A17" s="51" t="s">
        <v>217</v>
      </c>
      <c r="B17" s="1"/>
      <c r="C17" s="1"/>
      <c r="D17" s="1"/>
      <c r="E17" s="1"/>
      <c r="F17" s="1"/>
      <c r="G17" s="1"/>
      <c r="H17" s="44"/>
      <c r="I17" s="47">
        <v>0</v>
      </c>
    </row>
    <row r="18" spans="1:9" ht="21">
      <c r="A18" s="51" t="s">
        <v>218</v>
      </c>
      <c r="B18" s="1"/>
      <c r="C18" s="1"/>
      <c r="D18" s="1"/>
      <c r="E18" s="1"/>
      <c r="F18" s="1"/>
      <c r="G18" s="1"/>
      <c r="H18" s="44"/>
      <c r="I18" s="47">
        <v>363000</v>
      </c>
    </row>
    <row r="19" spans="1:9" ht="21">
      <c r="A19" s="51" t="s">
        <v>219</v>
      </c>
      <c r="B19" s="1"/>
      <c r="C19" s="1"/>
      <c r="D19" s="1"/>
      <c r="E19" s="1"/>
      <c r="F19" s="1"/>
      <c r="G19" s="1"/>
      <c r="H19" s="44"/>
      <c r="I19" s="47">
        <v>148000</v>
      </c>
    </row>
    <row r="20" spans="1:9" ht="21">
      <c r="A20" s="51" t="s">
        <v>220</v>
      </c>
      <c r="B20" s="1"/>
      <c r="C20" s="1"/>
      <c r="D20" s="1"/>
      <c r="E20" s="1"/>
      <c r="F20" s="1"/>
      <c r="G20" s="1"/>
      <c r="H20" s="44"/>
      <c r="I20" s="30">
        <v>178000</v>
      </c>
    </row>
    <row r="21" spans="1:9" ht="21">
      <c r="A21" s="51" t="s">
        <v>221</v>
      </c>
      <c r="B21" s="1"/>
      <c r="C21" s="1"/>
      <c r="D21" s="1"/>
      <c r="E21" s="1"/>
      <c r="F21" s="1"/>
      <c r="G21" s="1"/>
      <c r="H21" s="44"/>
      <c r="I21" s="30">
        <v>39000</v>
      </c>
    </row>
    <row r="22" spans="1:9" ht="21">
      <c r="A22" s="51" t="s">
        <v>222</v>
      </c>
      <c r="B22" s="1"/>
      <c r="C22" s="1"/>
      <c r="D22" s="1"/>
      <c r="E22" s="1"/>
      <c r="F22" s="1"/>
      <c r="G22" s="1"/>
      <c r="H22" s="44"/>
      <c r="I22" s="30">
        <v>0</v>
      </c>
    </row>
    <row r="23" spans="1:9" ht="21.75" thickBot="1">
      <c r="A23" s="46"/>
      <c r="B23" s="308" t="s">
        <v>97</v>
      </c>
      <c r="C23" s="308"/>
      <c r="D23" s="308"/>
      <c r="E23" s="308"/>
      <c r="F23" s="308"/>
      <c r="G23" s="308"/>
      <c r="H23" s="44"/>
      <c r="I23" s="84">
        <f>SUM(I6:I22)</f>
        <v>5711375</v>
      </c>
    </row>
    <row r="24" spans="1:9" ht="21.75" thickTop="1">
      <c r="A24" s="48" t="s">
        <v>130</v>
      </c>
      <c r="B24" s="81"/>
      <c r="C24" s="81"/>
      <c r="D24" s="1"/>
      <c r="E24" s="1"/>
      <c r="F24" s="1"/>
      <c r="G24" s="1"/>
      <c r="H24" s="44"/>
      <c r="I24" s="44"/>
    </row>
    <row r="25" spans="1:9" ht="21">
      <c r="A25" s="141" t="s">
        <v>129</v>
      </c>
      <c r="B25" s="81"/>
      <c r="C25" s="81"/>
      <c r="D25" s="1"/>
      <c r="E25" s="1"/>
      <c r="F25" s="1"/>
      <c r="G25" s="1"/>
      <c r="H25" s="44"/>
      <c r="I25" s="82" t="s">
        <v>26</v>
      </c>
    </row>
    <row r="26" spans="1:9" ht="21.75" thickBot="1">
      <c r="A26" s="1"/>
      <c r="B26" s="308" t="s">
        <v>97</v>
      </c>
      <c r="C26" s="308"/>
      <c r="D26" s="308"/>
      <c r="E26" s="308"/>
      <c r="F26" s="308"/>
      <c r="G26" s="308"/>
      <c r="H26" s="44"/>
      <c r="I26" s="84">
        <v>0</v>
      </c>
    </row>
    <row r="27" spans="1:9" ht="21.75" thickTop="1">
      <c r="A27" s="48" t="s">
        <v>131</v>
      </c>
      <c r="B27" s="81"/>
      <c r="C27" s="81"/>
      <c r="D27" s="1"/>
      <c r="E27" s="1"/>
      <c r="F27" s="1"/>
      <c r="G27" s="1"/>
      <c r="H27" s="44"/>
      <c r="I27" s="44"/>
    </row>
    <row r="28" spans="1:9" ht="21">
      <c r="A28" s="141" t="s">
        <v>129</v>
      </c>
      <c r="B28" s="81"/>
      <c r="C28" s="81"/>
      <c r="D28" s="1"/>
      <c r="E28" s="1"/>
      <c r="F28" s="1"/>
      <c r="G28" s="1"/>
      <c r="H28" s="44"/>
      <c r="I28" s="82" t="s">
        <v>26</v>
      </c>
    </row>
    <row r="29" spans="1:9" ht="21">
      <c r="A29" s="46" t="s">
        <v>132</v>
      </c>
      <c r="B29" s="1"/>
      <c r="C29" s="1"/>
      <c r="D29" s="1"/>
      <c r="E29" s="1"/>
      <c r="F29" s="1"/>
      <c r="G29" s="1"/>
      <c r="H29" s="44"/>
      <c r="I29" s="142">
        <v>9751.5</v>
      </c>
    </row>
    <row r="30" spans="1:9" ht="21">
      <c r="A30" s="46" t="s">
        <v>133</v>
      </c>
      <c r="B30" s="1"/>
      <c r="C30" s="1"/>
      <c r="D30" s="1"/>
      <c r="E30" s="1"/>
      <c r="F30" s="1"/>
      <c r="G30" s="1"/>
      <c r="H30" s="44"/>
      <c r="I30" s="47">
        <v>728850</v>
      </c>
    </row>
    <row r="31" spans="1:9" ht="21">
      <c r="A31" s="46" t="s">
        <v>134</v>
      </c>
      <c r="B31" s="1"/>
      <c r="C31" s="1"/>
      <c r="D31" s="1"/>
      <c r="E31" s="1"/>
      <c r="F31" s="1"/>
      <c r="G31" s="1"/>
      <c r="H31" s="44"/>
      <c r="I31" s="47">
        <v>31.74</v>
      </c>
    </row>
    <row r="32" spans="1:9" ht="21">
      <c r="A32" s="1" t="s">
        <v>151</v>
      </c>
      <c r="B32" s="81"/>
      <c r="C32" s="1"/>
      <c r="D32" s="1"/>
      <c r="E32" s="1"/>
      <c r="F32" s="1"/>
      <c r="G32" s="1"/>
      <c r="H32" s="44"/>
      <c r="I32" s="47">
        <v>0</v>
      </c>
    </row>
    <row r="33" spans="1:9" ht="21">
      <c r="A33" s="46" t="s">
        <v>150</v>
      </c>
      <c r="B33" s="81"/>
      <c r="C33" s="1"/>
      <c r="D33" s="1"/>
      <c r="E33" s="1"/>
      <c r="F33" s="1"/>
      <c r="G33" s="1"/>
      <c r="H33" s="44"/>
      <c r="I33" s="47">
        <v>0</v>
      </c>
    </row>
    <row r="34" spans="1:9" ht="21">
      <c r="A34" s="46" t="s">
        <v>90</v>
      </c>
      <c r="B34" s="81"/>
      <c r="C34" s="1"/>
      <c r="D34" s="1"/>
      <c r="E34" s="1"/>
      <c r="F34" s="1"/>
      <c r="G34" s="1"/>
      <c r="H34" s="44"/>
      <c r="I34" s="47">
        <v>0</v>
      </c>
    </row>
    <row r="35" spans="1:9" ht="21">
      <c r="A35" s="46" t="s">
        <v>152</v>
      </c>
      <c r="B35" s="81"/>
      <c r="C35" s="1"/>
      <c r="D35" s="1"/>
      <c r="E35" s="1"/>
      <c r="F35" s="1"/>
      <c r="G35" s="1"/>
      <c r="H35" s="44"/>
      <c r="I35" s="47">
        <v>986523.08</v>
      </c>
    </row>
    <row r="36" spans="1:9" ht="21">
      <c r="A36" s="46" t="s">
        <v>154</v>
      </c>
      <c r="B36" s="81"/>
      <c r="C36" s="1"/>
      <c r="D36" s="1"/>
      <c r="E36" s="1"/>
      <c r="F36" s="1"/>
      <c r="G36" s="1"/>
      <c r="H36" s="44"/>
      <c r="I36" s="47">
        <f>7817-7817+600-600+10964-10964+10728-10728+10728-10728+10789-10789+11649-11649+14817-14817+12421-12421+12421-12421+11921-11921+11921-11921+11921-11921+12421-12421+12207-12207+11550-11550</f>
        <v>0</v>
      </c>
    </row>
    <row r="37" spans="1:9" ht="21">
      <c r="A37" s="31" t="s">
        <v>178</v>
      </c>
      <c r="B37" s="81"/>
      <c r="C37" s="1"/>
      <c r="D37" s="1"/>
      <c r="E37" s="1"/>
      <c r="F37" s="1"/>
      <c r="G37" s="1"/>
      <c r="H37" s="44"/>
      <c r="I37" s="47">
        <f>925000-925000</f>
        <v>0</v>
      </c>
    </row>
    <row r="38" spans="1:9" ht="21">
      <c r="A38" s="31" t="s">
        <v>192</v>
      </c>
      <c r="B38" s="81"/>
      <c r="C38" s="1"/>
      <c r="D38" s="1"/>
      <c r="E38" s="1"/>
      <c r="F38" s="1"/>
      <c r="G38" s="1"/>
      <c r="H38" s="44"/>
      <c r="I38" s="47">
        <f>40000-40000</f>
        <v>0</v>
      </c>
    </row>
    <row r="39" spans="1:9" ht="21.75" thickBot="1">
      <c r="A39" s="1"/>
      <c r="B39" s="308" t="s">
        <v>97</v>
      </c>
      <c r="C39" s="308"/>
      <c r="D39" s="308"/>
      <c r="E39" s="308"/>
      <c r="F39" s="308"/>
      <c r="G39" s="308"/>
      <c r="H39" s="240"/>
      <c r="I39" s="144">
        <f>SUM(I29:I38)</f>
        <v>1725156.3199999998</v>
      </c>
    </row>
    <row r="40" spans="1:9" ht="19.5" thickTop="1"/>
    <row r="41" spans="1:9" ht="21">
      <c r="A41" s="309" t="s">
        <v>25</v>
      </c>
      <c r="B41" s="309"/>
      <c r="C41" s="309"/>
      <c r="D41" s="309"/>
      <c r="E41" s="309"/>
      <c r="F41" s="309"/>
      <c r="G41" s="309"/>
      <c r="H41" s="309"/>
      <c r="I41" s="309"/>
    </row>
    <row r="42" spans="1:9" ht="21">
      <c r="A42" s="309" t="s">
        <v>127</v>
      </c>
      <c r="B42" s="309"/>
      <c r="C42" s="309"/>
      <c r="D42" s="309"/>
      <c r="E42" s="309"/>
      <c r="F42" s="309"/>
      <c r="G42" s="309"/>
      <c r="H42" s="309"/>
      <c r="I42" s="309"/>
    </row>
    <row r="43" spans="1:9" ht="21">
      <c r="A43" s="309" t="s">
        <v>228</v>
      </c>
      <c r="B43" s="309"/>
      <c r="C43" s="309"/>
      <c r="D43" s="309"/>
      <c r="E43" s="309"/>
      <c r="F43" s="309"/>
      <c r="G43" s="309"/>
      <c r="H43" s="309"/>
      <c r="I43" s="309"/>
    </row>
    <row r="44" spans="1:9" ht="21">
      <c r="A44" s="48" t="s">
        <v>128</v>
      </c>
      <c r="B44" s="81"/>
      <c r="C44" s="81"/>
      <c r="D44" s="1"/>
      <c r="E44" s="1"/>
      <c r="F44" s="1"/>
      <c r="G44" s="1"/>
      <c r="H44" s="44"/>
      <c r="I44" s="44"/>
    </row>
    <row r="45" spans="1:9" ht="21">
      <c r="A45" s="141" t="s">
        <v>129</v>
      </c>
      <c r="B45" s="81"/>
      <c r="C45" s="81"/>
      <c r="D45" s="81"/>
      <c r="E45" s="81"/>
      <c r="F45" s="81"/>
      <c r="G45" s="81"/>
      <c r="H45" s="52"/>
      <c r="I45" s="82" t="s">
        <v>26</v>
      </c>
    </row>
    <row r="46" spans="1:9" ht="21">
      <c r="A46" s="51" t="s">
        <v>210</v>
      </c>
      <c r="B46" s="1"/>
      <c r="C46" s="1"/>
      <c r="D46" s="1"/>
      <c r="E46" s="1"/>
      <c r="F46" s="1"/>
      <c r="G46" s="1"/>
      <c r="H46" s="44"/>
      <c r="I46" s="47">
        <v>3620000</v>
      </c>
    </row>
    <row r="47" spans="1:9" ht="21">
      <c r="A47" s="51" t="s">
        <v>185</v>
      </c>
      <c r="B47" s="1"/>
      <c r="C47" s="1"/>
      <c r="D47" s="1"/>
      <c r="E47" s="1"/>
      <c r="F47" s="1"/>
      <c r="G47" s="1"/>
      <c r="H47" s="44"/>
      <c r="I47" s="47">
        <v>752375</v>
      </c>
    </row>
    <row r="48" spans="1:9" ht="21">
      <c r="A48" s="51" t="s">
        <v>218</v>
      </c>
      <c r="B48" s="1"/>
      <c r="C48" s="1"/>
      <c r="D48" s="1"/>
      <c r="E48" s="1"/>
      <c r="F48" s="1"/>
      <c r="G48" s="1"/>
      <c r="H48" s="44"/>
      <c r="I48" s="47">
        <v>363000</v>
      </c>
    </row>
    <row r="49" spans="1:9" ht="21">
      <c r="A49" s="51" t="s">
        <v>219</v>
      </c>
      <c r="B49" s="1"/>
      <c r="C49" s="1"/>
      <c r="D49" s="1"/>
      <c r="E49" s="1"/>
      <c r="F49" s="1"/>
      <c r="G49" s="1"/>
      <c r="H49" s="44"/>
      <c r="I49" s="47">
        <v>148000</v>
      </c>
    </row>
    <row r="50" spans="1:9" ht="21">
      <c r="A50" s="51" t="s">
        <v>220</v>
      </c>
      <c r="B50" s="1"/>
      <c r="C50" s="1"/>
      <c r="D50" s="1"/>
      <c r="E50" s="1"/>
      <c r="F50" s="1"/>
      <c r="G50" s="1"/>
      <c r="H50" s="44"/>
      <c r="I50" s="30">
        <v>178000</v>
      </c>
    </row>
    <row r="51" spans="1:9" ht="21.75" thickBot="1">
      <c r="A51" s="46"/>
      <c r="B51" s="308" t="s">
        <v>97</v>
      </c>
      <c r="C51" s="308"/>
      <c r="D51" s="308"/>
      <c r="E51" s="308"/>
      <c r="F51" s="308"/>
      <c r="G51" s="308"/>
      <c r="H51" s="44"/>
      <c r="I51" s="84">
        <f>SUM(I46:I50)</f>
        <v>5061375</v>
      </c>
    </row>
    <row r="52" spans="1:9" ht="21.75" thickTop="1">
      <c r="A52" s="46"/>
      <c r="B52" s="242"/>
      <c r="C52" s="242"/>
      <c r="D52" s="242"/>
      <c r="E52" s="242"/>
      <c r="F52" s="242"/>
      <c r="G52" s="242"/>
      <c r="H52" s="44"/>
      <c r="I52" s="49"/>
    </row>
    <row r="53" spans="1:9" ht="10.5" customHeight="1">
      <c r="A53" s="46"/>
      <c r="B53" s="242"/>
      <c r="C53" s="242"/>
      <c r="D53" s="242"/>
      <c r="E53" s="242"/>
      <c r="F53" s="242"/>
      <c r="G53" s="242"/>
      <c r="H53" s="44"/>
      <c r="I53" s="49"/>
    </row>
    <row r="54" spans="1:9" ht="21">
      <c r="A54" s="48" t="s">
        <v>229</v>
      </c>
      <c r="B54" s="81"/>
      <c r="C54" s="81"/>
      <c r="D54" s="1"/>
      <c r="E54" s="1"/>
      <c r="F54" s="1"/>
      <c r="G54" s="1"/>
      <c r="H54" s="44"/>
      <c r="I54" s="44"/>
    </row>
    <row r="55" spans="1:9" ht="21">
      <c r="A55" s="141" t="s">
        <v>129</v>
      </c>
      <c r="B55" s="81"/>
      <c r="C55" s="81"/>
      <c r="D55" s="1"/>
      <c r="E55" s="1"/>
      <c r="F55" s="1"/>
      <c r="G55" s="1"/>
      <c r="H55" s="44"/>
      <c r="I55" s="82" t="s">
        <v>26</v>
      </c>
    </row>
    <row r="56" spans="1:9" ht="21">
      <c r="A56" s="46" t="s">
        <v>132</v>
      </c>
      <c r="B56" s="1"/>
      <c r="C56" s="1"/>
      <c r="D56" s="1"/>
      <c r="E56" s="1"/>
      <c r="F56" s="1"/>
      <c r="G56" s="1"/>
      <c r="H56" s="44"/>
      <c r="I56" s="142">
        <v>7286.73</v>
      </c>
    </row>
    <row r="57" spans="1:9" ht="21">
      <c r="A57" s="46" t="s">
        <v>133</v>
      </c>
      <c r="B57" s="1"/>
      <c r="C57" s="1"/>
      <c r="D57" s="1"/>
      <c r="E57" s="1"/>
      <c r="F57" s="1"/>
      <c r="G57" s="1"/>
      <c r="H57" s="44"/>
      <c r="I57" s="47">
        <v>686595</v>
      </c>
    </row>
    <row r="58" spans="1:9" ht="21">
      <c r="A58" s="46" t="s">
        <v>134</v>
      </c>
      <c r="B58" s="1"/>
      <c r="C58" s="1"/>
      <c r="D58" s="1"/>
      <c r="E58" s="1"/>
      <c r="F58" s="1"/>
      <c r="G58" s="1"/>
      <c r="H58" s="44"/>
      <c r="I58" s="47">
        <v>31.74</v>
      </c>
    </row>
    <row r="59" spans="1:9" ht="21">
      <c r="A59" s="1" t="s">
        <v>151</v>
      </c>
      <c r="B59" s="81"/>
      <c r="C59" s="1"/>
      <c r="D59" s="1"/>
      <c r="E59" s="1"/>
      <c r="F59" s="1"/>
      <c r="G59" s="1"/>
      <c r="H59" s="44"/>
      <c r="I59" s="47">
        <v>80</v>
      </c>
    </row>
    <row r="60" spans="1:9" ht="21">
      <c r="A60" s="46" t="s">
        <v>152</v>
      </c>
      <c r="B60" s="81"/>
      <c r="C60" s="1"/>
      <c r="D60" s="1"/>
      <c r="E60" s="1"/>
      <c r="F60" s="1"/>
      <c r="G60" s="1"/>
      <c r="H60" s="44"/>
      <c r="I60" s="45">
        <v>986523.08</v>
      </c>
    </row>
    <row r="61" spans="1:9" ht="21.75" thickBot="1">
      <c r="A61" s="1"/>
      <c r="B61" s="308" t="s">
        <v>97</v>
      </c>
      <c r="C61" s="308"/>
      <c r="D61" s="308"/>
      <c r="E61" s="308"/>
      <c r="F61" s="308"/>
      <c r="G61" s="308"/>
      <c r="H61" s="242"/>
      <c r="I61" s="144">
        <f>SUM(I56:I60)</f>
        <v>1680516.5499999998</v>
      </c>
    </row>
    <row r="62" spans="1:9" ht="19.5" thickTop="1"/>
    <row r="83" spans="1:9" ht="21">
      <c r="A83" s="309" t="s">
        <v>25</v>
      </c>
      <c r="B83" s="309"/>
      <c r="C83" s="309"/>
      <c r="D83" s="309"/>
      <c r="E83" s="309"/>
      <c r="F83" s="309"/>
      <c r="G83" s="309"/>
      <c r="H83" s="309"/>
      <c r="I83" s="309"/>
    </row>
    <row r="84" spans="1:9" ht="21">
      <c r="A84" s="309" t="s">
        <v>127</v>
      </c>
      <c r="B84" s="309"/>
      <c r="C84" s="309"/>
      <c r="D84" s="309"/>
      <c r="E84" s="309"/>
      <c r="F84" s="309"/>
      <c r="G84" s="309"/>
      <c r="H84" s="309"/>
      <c r="I84" s="309"/>
    </row>
    <row r="85" spans="1:9" ht="21">
      <c r="A85" s="309" t="s">
        <v>288</v>
      </c>
      <c r="B85" s="309"/>
      <c r="C85" s="309"/>
      <c r="D85" s="309"/>
      <c r="E85" s="309"/>
      <c r="F85" s="309"/>
      <c r="G85" s="309"/>
      <c r="H85" s="309"/>
      <c r="I85" s="309"/>
    </row>
    <row r="86" spans="1:9" ht="21">
      <c r="A86" s="48" t="s">
        <v>128</v>
      </c>
      <c r="B86" s="81"/>
      <c r="C86" s="81"/>
      <c r="D86" s="1"/>
      <c r="E86" s="1"/>
      <c r="F86" s="1"/>
      <c r="G86" s="1"/>
      <c r="H86" s="44"/>
      <c r="I86" s="44"/>
    </row>
    <row r="87" spans="1:9" ht="21">
      <c r="A87" s="141" t="s">
        <v>129</v>
      </c>
      <c r="B87" s="81"/>
      <c r="C87" s="81"/>
      <c r="D87" s="81"/>
      <c r="E87" s="81"/>
      <c r="F87" s="81"/>
      <c r="G87" s="81"/>
      <c r="H87" s="52"/>
      <c r="I87" s="82" t="s">
        <v>26</v>
      </c>
    </row>
    <row r="88" spans="1:9" ht="21">
      <c r="A88" s="51" t="s">
        <v>210</v>
      </c>
      <c r="B88" s="1"/>
      <c r="C88" s="1"/>
      <c r="D88" s="1"/>
      <c r="E88" s="1"/>
      <c r="F88" s="1"/>
      <c r="G88" s="1"/>
      <c r="H88" s="44"/>
      <c r="I88" s="47">
        <v>3620000</v>
      </c>
    </row>
    <row r="89" spans="1:9" ht="21">
      <c r="A89" s="51" t="s">
        <v>185</v>
      </c>
      <c r="B89" s="1"/>
      <c r="C89" s="1"/>
      <c r="D89" s="1"/>
      <c r="E89" s="1"/>
      <c r="F89" s="1"/>
      <c r="G89" s="1"/>
      <c r="H89" s="44"/>
      <c r="I89" s="47">
        <f>752375-521617</f>
        <v>230758</v>
      </c>
    </row>
    <row r="90" spans="1:9" ht="21">
      <c r="A90" s="51" t="s">
        <v>218</v>
      </c>
      <c r="B90" s="1"/>
      <c r="C90" s="1"/>
      <c r="D90" s="1"/>
      <c r="E90" s="1"/>
      <c r="F90" s="1"/>
      <c r="G90" s="1"/>
      <c r="H90" s="44"/>
      <c r="I90" s="47">
        <v>363000</v>
      </c>
    </row>
    <row r="91" spans="1:9" ht="21">
      <c r="A91" s="51" t="s">
        <v>219</v>
      </c>
      <c r="B91" s="1"/>
      <c r="C91" s="1"/>
      <c r="D91" s="1"/>
      <c r="E91" s="1"/>
      <c r="F91" s="1"/>
      <c r="G91" s="1"/>
      <c r="H91" s="44"/>
      <c r="I91" s="47">
        <v>148000</v>
      </c>
    </row>
    <row r="92" spans="1:9" ht="21">
      <c r="A92" s="51" t="s">
        <v>220</v>
      </c>
      <c r="B92" s="1"/>
      <c r="C92" s="1"/>
      <c r="D92" s="1"/>
      <c r="E92" s="1"/>
      <c r="F92" s="1"/>
      <c r="G92" s="1"/>
      <c r="H92" s="44"/>
      <c r="I92" s="30">
        <v>178000</v>
      </c>
    </row>
    <row r="93" spans="1:9" ht="21.75" thickBot="1">
      <c r="A93" s="46"/>
      <c r="B93" s="308" t="s">
        <v>97</v>
      </c>
      <c r="C93" s="308"/>
      <c r="D93" s="308"/>
      <c r="E93" s="308"/>
      <c r="F93" s="308"/>
      <c r="G93" s="308"/>
      <c r="H93" s="44"/>
      <c r="I93" s="84">
        <f>SUM(I88:I92)</f>
        <v>4539758</v>
      </c>
    </row>
    <row r="94" spans="1:9" ht="21.75" thickTop="1">
      <c r="A94" s="46"/>
      <c r="B94" s="267"/>
      <c r="C94" s="267"/>
      <c r="D94" s="267"/>
      <c r="E94" s="267"/>
      <c r="F94" s="267"/>
      <c r="G94" s="267"/>
      <c r="H94" s="44"/>
      <c r="I94" s="49"/>
    </row>
    <row r="95" spans="1:9" ht="10.5" customHeight="1">
      <c r="A95" s="46"/>
      <c r="B95" s="267"/>
      <c r="C95" s="267"/>
      <c r="D95" s="267"/>
      <c r="E95" s="267"/>
      <c r="F95" s="267"/>
      <c r="G95" s="267"/>
      <c r="H95" s="44"/>
      <c r="I95" s="49"/>
    </row>
    <row r="96" spans="1:9" ht="21">
      <c r="A96" s="48" t="s">
        <v>229</v>
      </c>
      <c r="B96" s="81"/>
      <c r="C96" s="81"/>
      <c r="D96" s="1"/>
      <c r="E96" s="1"/>
      <c r="F96" s="1"/>
      <c r="G96" s="1"/>
      <c r="H96" s="44"/>
      <c r="I96" s="44"/>
    </row>
    <row r="97" spans="1:9" ht="21">
      <c r="A97" s="141" t="s">
        <v>129</v>
      </c>
      <c r="B97" s="81"/>
      <c r="C97" s="81"/>
      <c r="D97" s="1"/>
      <c r="E97" s="1"/>
      <c r="F97" s="1"/>
      <c r="G97" s="1"/>
      <c r="H97" s="44"/>
      <c r="I97" s="82" t="s">
        <v>26</v>
      </c>
    </row>
    <row r="98" spans="1:9" ht="21">
      <c r="A98" s="46" t="s">
        <v>132</v>
      </c>
      <c r="B98" s="1"/>
      <c r="C98" s="1"/>
      <c r="D98" s="1"/>
      <c r="E98" s="1"/>
      <c r="F98" s="1"/>
      <c r="G98" s="1"/>
      <c r="H98" s="44"/>
      <c r="I98" s="142">
        <v>2079.17</v>
      </c>
    </row>
    <row r="99" spans="1:9" ht="21">
      <c r="A99" s="46" t="s">
        <v>133</v>
      </c>
      <c r="B99" s="1"/>
      <c r="C99" s="1"/>
      <c r="D99" s="1"/>
      <c r="E99" s="1"/>
      <c r="F99" s="1"/>
      <c r="G99" s="1"/>
      <c r="H99" s="44"/>
      <c r="I99" s="47">
        <f>686595+24400-1600</f>
        <v>709395</v>
      </c>
    </row>
    <row r="100" spans="1:9" ht="21">
      <c r="A100" s="46" t="s">
        <v>134</v>
      </c>
      <c r="B100" s="1"/>
      <c r="C100" s="1"/>
      <c r="D100" s="1"/>
      <c r="E100" s="1"/>
      <c r="F100" s="1"/>
      <c r="G100" s="1"/>
      <c r="H100" s="44"/>
      <c r="I100" s="47">
        <v>31.74</v>
      </c>
    </row>
    <row r="101" spans="1:9" ht="21">
      <c r="A101" s="1" t="s">
        <v>151</v>
      </c>
      <c r="B101" s="81"/>
      <c r="C101" s="1"/>
      <c r="D101" s="1"/>
      <c r="E101" s="1"/>
      <c r="F101" s="1"/>
      <c r="G101" s="1"/>
      <c r="H101" s="44"/>
      <c r="I101" s="47">
        <f>80-80</f>
        <v>0</v>
      </c>
    </row>
    <row r="102" spans="1:9" ht="21">
      <c r="A102" s="46" t="s">
        <v>152</v>
      </c>
      <c r="B102" s="81"/>
      <c r="C102" s="1"/>
      <c r="D102" s="1"/>
      <c r="E102" s="1"/>
      <c r="F102" s="1"/>
      <c r="G102" s="1"/>
      <c r="H102" s="44"/>
      <c r="I102" s="45">
        <v>986523.08</v>
      </c>
    </row>
    <row r="103" spans="1:9" ht="21.75" thickBot="1">
      <c r="A103" s="1"/>
      <c r="B103" s="308" t="s">
        <v>97</v>
      </c>
      <c r="C103" s="308"/>
      <c r="D103" s="308"/>
      <c r="E103" s="308"/>
      <c r="F103" s="308"/>
      <c r="G103" s="308"/>
      <c r="H103" s="267"/>
      <c r="I103" s="144">
        <f>SUM(I98:I102)</f>
        <v>1698028.99</v>
      </c>
    </row>
    <row r="104" spans="1:9" ht="19.5" thickTop="1"/>
    <row r="125" spans="1:9" ht="21">
      <c r="A125" s="309" t="s">
        <v>25</v>
      </c>
      <c r="B125" s="309"/>
      <c r="C125" s="309"/>
      <c r="D125" s="309"/>
      <c r="E125" s="309"/>
      <c r="F125" s="309"/>
      <c r="G125" s="309"/>
      <c r="H125" s="309"/>
      <c r="I125" s="309"/>
    </row>
    <row r="126" spans="1:9" ht="21">
      <c r="A126" s="309" t="s">
        <v>127</v>
      </c>
      <c r="B126" s="309"/>
      <c r="C126" s="309"/>
      <c r="D126" s="309"/>
      <c r="E126" s="309"/>
      <c r="F126" s="309"/>
      <c r="G126" s="309"/>
      <c r="H126" s="309"/>
      <c r="I126" s="309"/>
    </row>
    <row r="127" spans="1:9" ht="21">
      <c r="A127" s="309" t="s">
        <v>301</v>
      </c>
      <c r="B127" s="309"/>
      <c r="C127" s="309"/>
      <c r="D127" s="309"/>
      <c r="E127" s="309"/>
      <c r="F127" s="309"/>
      <c r="G127" s="309"/>
      <c r="H127" s="309"/>
      <c r="I127" s="309"/>
    </row>
    <row r="128" spans="1:9" ht="21">
      <c r="A128" s="48" t="s">
        <v>128</v>
      </c>
      <c r="B128" s="81"/>
      <c r="C128" s="81"/>
      <c r="D128" s="1"/>
      <c r="E128" s="1"/>
      <c r="F128" s="1"/>
      <c r="G128" s="1"/>
      <c r="H128" s="44"/>
      <c r="I128" s="44"/>
    </row>
    <row r="129" spans="1:9" ht="21">
      <c r="A129" s="141" t="s">
        <v>129</v>
      </c>
      <c r="B129" s="81"/>
      <c r="C129" s="81"/>
      <c r="D129" s="81"/>
      <c r="E129" s="81"/>
      <c r="F129" s="81"/>
      <c r="G129" s="81"/>
      <c r="H129" s="52"/>
      <c r="I129" s="82" t="s">
        <v>26</v>
      </c>
    </row>
    <row r="130" spans="1:9" ht="21">
      <c r="A130" s="51" t="s">
        <v>210</v>
      </c>
      <c r="B130" s="1"/>
      <c r="C130" s="1"/>
      <c r="D130" s="1"/>
      <c r="E130" s="1"/>
      <c r="F130" s="1"/>
      <c r="G130" s="1"/>
      <c r="H130" s="44"/>
      <c r="I130" s="47">
        <f>3620000-873675.86</f>
        <v>2746324.14</v>
      </c>
    </row>
    <row r="131" spans="1:9" ht="21">
      <c r="A131" s="51" t="s">
        <v>185</v>
      </c>
      <c r="B131" s="1"/>
      <c r="C131" s="1"/>
      <c r="D131" s="1"/>
      <c r="E131" s="1"/>
      <c r="F131" s="1"/>
      <c r="G131" s="1"/>
      <c r="H131" s="44"/>
      <c r="I131" s="47">
        <f>752375-521617</f>
        <v>230758</v>
      </c>
    </row>
    <row r="132" spans="1:9" ht="21">
      <c r="A132" s="51" t="s">
        <v>218</v>
      </c>
      <c r="B132" s="1"/>
      <c r="C132" s="1"/>
      <c r="D132" s="1"/>
      <c r="E132" s="1"/>
      <c r="F132" s="1"/>
      <c r="G132" s="1"/>
      <c r="H132" s="44"/>
      <c r="I132" s="47">
        <f>363000-363000</f>
        <v>0</v>
      </c>
    </row>
    <row r="133" spans="1:9" ht="21">
      <c r="A133" s="51" t="s">
        <v>219</v>
      </c>
      <c r="B133" s="1"/>
      <c r="C133" s="1"/>
      <c r="D133" s="1"/>
      <c r="E133" s="1"/>
      <c r="F133" s="1"/>
      <c r="G133" s="1"/>
      <c r="H133" s="44"/>
      <c r="I133" s="47">
        <f>148000</f>
        <v>148000</v>
      </c>
    </row>
    <row r="134" spans="1:9" ht="21">
      <c r="A134" s="51" t="s">
        <v>220</v>
      </c>
      <c r="B134" s="1"/>
      <c r="C134" s="1"/>
      <c r="D134" s="1"/>
      <c r="E134" s="1"/>
      <c r="F134" s="1"/>
      <c r="G134" s="1"/>
      <c r="H134" s="44"/>
      <c r="I134" s="30">
        <v>178000</v>
      </c>
    </row>
    <row r="135" spans="1:9" ht="21.75" thickBot="1">
      <c r="A135" s="46"/>
      <c r="B135" s="308" t="s">
        <v>97</v>
      </c>
      <c r="C135" s="308"/>
      <c r="D135" s="308"/>
      <c r="E135" s="308"/>
      <c r="F135" s="308"/>
      <c r="G135" s="308"/>
      <c r="H135" s="44"/>
      <c r="I135" s="84">
        <f>SUM(I130:I134)</f>
        <v>3303082.14</v>
      </c>
    </row>
    <row r="136" spans="1:9" ht="21.75" thickTop="1">
      <c r="A136" s="46"/>
      <c r="B136" s="272"/>
      <c r="C136" s="272"/>
      <c r="D136" s="272"/>
      <c r="E136" s="272"/>
      <c r="F136" s="272"/>
      <c r="G136" s="272"/>
      <c r="H136" s="44"/>
      <c r="I136" s="49"/>
    </row>
    <row r="137" spans="1:9" ht="10.5" customHeight="1">
      <c r="A137" s="46"/>
      <c r="B137" s="272"/>
      <c r="C137" s="272"/>
      <c r="D137" s="272"/>
      <c r="E137" s="272"/>
      <c r="F137" s="272"/>
      <c r="G137" s="272"/>
      <c r="H137" s="44"/>
      <c r="I137" s="49"/>
    </row>
    <row r="138" spans="1:9" ht="21">
      <c r="A138" s="48" t="s">
        <v>229</v>
      </c>
      <c r="B138" s="81"/>
      <c r="C138" s="81"/>
      <c r="D138" s="1"/>
      <c r="E138" s="1"/>
      <c r="F138" s="1"/>
      <c r="G138" s="1"/>
      <c r="H138" s="44"/>
      <c r="I138" s="44"/>
    </row>
    <row r="139" spans="1:9" ht="21">
      <c r="A139" s="141" t="s">
        <v>129</v>
      </c>
      <c r="B139" s="81"/>
      <c r="C139" s="81"/>
      <c r="D139" s="1"/>
      <c r="E139" s="1"/>
      <c r="F139" s="1"/>
      <c r="G139" s="1"/>
      <c r="H139" s="44"/>
      <c r="I139" s="82" t="s">
        <v>26</v>
      </c>
    </row>
    <row r="140" spans="1:9" ht="21">
      <c r="A140" s="46" t="s">
        <v>132</v>
      </c>
      <c r="B140" s="1"/>
      <c r="C140" s="1"/>
      <c r="D140" s="1"/>
      <c r="E140" s="1"/>
      <c r="F140" s="1"/>
      <c r="G140" s="1"/>
      <c r="H140" s="44"/>
      <c r="I140" s="142">
        <v>12917.27</v>
      </c>
    </row>
    <row r="141" spans="1:9" ht="21">
      <c r="A141" s="46" t="s">
        <v>133</v>
      </c>
      <c r="B141" s="1"/>
      <c r="C141" s="1"/>
      <c r="D141" s="1"/>
      <c r="E141" s="1"/>
      <c r="F141" s="1"/>
      <c r="G141" s="1"/>
      <c r="H141" s="44"/>
      <c r="I141" s="47">
        <f>686595+24400-1600-22700</f>
        <v>686695</v>
      </c>
    </row>
    <row r="142" spans="1:9" ht="21">
      <c r="A142" s="46" t="s">
        <v>134</v>
      </c>
      <c r="B142" s="1"/>
      <c r="C142" s="1"/>
      <c r="D142" s="1"/>
      <c r="E142" s="1"/>
      <c r="F142" s="1"/>
      <c r="G142" s="1"/>
      <c r="H142" s="44"/>
      <c r="I142" s="47">
        <f>31.74+18.96</f>
        <v>50.7</v>
      </c>
    </row>
    <row r="143" spans="1:9" ht="21">
      <c r="A143" s="1" t="s">
        <v>151</v>
      </c>
      <c r="B143" s="81"/>
      <c r="C143" s="1"/>
      <c r="D143" s="1"/>
      <c r="E143" s="1"/>
      <c r="F143" s="1"/>
      <c r="G143" s="1"/>
      <c r="H143" s="44"/>
      <c r="I143" s="47">
        <f>80-80</f>
        <v>0</v>
      </c>
    </row>
    <row r="144" spans="1:9" ht="21">
      <c r="A144" s="46" t="s">
        <v>152</v>
      </c>
      <c r="B144" s="81"/>
      <c r="C144" s="1"/>
      <c r="D144" s="1"/>
      <c r="E144" s="1"/>
      <c r="F144" s="1"/>
      <c r="G144" s="1"/>
      <c r="H144" s="44"/>
      <c r="I144" s="45">
        <v>986523.08</v>
      </c>
    </row>
    <row r="145" spans="1:9" ht="21.75" thickBot="1">
      <c r="A145" s="1"/>
      <c r="B145" s="308" t="s">
        <v>97</v>
      </c>
      <c r="C145" s="308"/>
      <c r="D145" s="308"/>
      <c r="E145" s="308"/>
      <c r="F145" s="308"/>
      <c r="G145" s="308"/>
      <c r="H145" s="272"/>
      <c r="I145" s="144">
        <f>SUM(I140:I144)</f>
        <v>1686186.0499999998</v>
      </c>
    </row>
    <row r="146" spans="1:9" ht="19.5" thickTop="1"/>
    <row r="167" spans="1:9" ht="21">
      <c r="A167" s="309" t="s">
        <v>25</v>
      </c>
      <c r="B167" s="309"/>
      <c r="C167" s="309"/>
      <c r="D167" s="309"/>
      <c r="E167" s="309"/>
      <c r="F167" s="309"/>
      <c r="G167" s="309"/>
      <c r="H167" s="309"/>
      <c r="I167" s="309"/>
    </row>
    <row r="168" spans="1:9" ht="21">
      <c r="A168" s="309" t="s">
        <v>127</v>
      </c>
      <c r="B168" s="309"/>
      <c r="C168" s="309"/>
      <c r="D168" s="309"/>
      <c r="E168" s="309"/>
      <c r="F168" s="309"/>
      <c r="G168" s="309"/>
      <c r="H168" s="309"/>
      <c r="I168" s="309"/>
    </row>
    <row r="169" spans="1:9" ht="21">
      <c r="A169" s="309" t="s">
        <v>316</v>
      </c>
      <c r="B169" s="309"/>
      <c r="C169" s="309"/>
      <c r="D169" s="309"/>
      <c r="E169" s="309"/>
      <c r="F169" s="309"/>
      <c r="G169" s="309"/>
      <c r="H169" s="309"/>
      <c r="I169" s="309"/>
    </row>
    <row r="170" spans="1:9" ht="21">
      <c r="A170" s="48" t="s">
        <v>128</v>
      </c>
      <c r="B170" s="81"/>
      <c r="C170" s="81"/>
      <c r="D170" s="1"/>
      <c r="E170" s="1"/>
      <c r="F170" s="1"/>
      <c r="G170" s="1"/>
      <c r="H170" s="44"/>
      <c r="I170" s="44"/>
    </row>
    <row r="171" spans="1:9" ht="21">
      <c r="A171" s="141" t="s">
        <v>129</v>
      </c>
      <c r="B171" s="81"/>
      <c r="C171" s="81"/>
      <c r="D171" s="81"/>
      <c r="E171" s="81"/>
      <c r="F171" s="81"/>
      <c r="G171" s="81"/>
      <c r="H171" s="52"/>
      <c r="I171" s="82" t="s">
        <v>26</v>
      </c>
    </row>
    <row r="172" spans="1:9" ht="21">
      <c r="A172" s="51" t="s">
        <v>210</v>
      </c>
      <c r="B172" s="1"/>
      <c r="C172" s="1"/>
      <c r="D172" s="1"/>
      <c r="E172" s="1"/>
      <c r="F172" s="1"/>
      <c r="G172" s="1"/>
      <c r="H172" s="44"/>
      <c r="I172" s="47">
        <f>3620000-873675.86-2534000</f>
        <v>212324.14000000013</v>
      </c>
    </row>
    <row r="173" spans="1:9" ht="21">
      <c r="A173" s="51" t="s">
        <v>185</v>
      </c>
      <c r="B173" s="1"/>
      <c r="C173" s="1"/>
      <c r="D173" s="1"/>
      <c r="E173" s="1"/>
      <c r="F173" s="1"/>
      <c r="G173" s="1"/>
      <c r="H173" s="44"/>
      <c r="I173" s="47">
        <f>752375-521617</f>
        <v>230758</v>
      </c>
    </row>
    <row r="174" spans="1:9" ht="21">
      <c r="A174" s="51" t="s">
        <v>218</v>
      </c>
      <c r="B174" s="1"/>
      <c r="C174" s="1"/>
      <c r="D174" s="1"/>
      <c r="E174" s="1"/>
      <c r="F174" s="1"/>
      <c r="G174" s="1"/>
      <c r="H174" s="44"/>
      <c r="I174" s="47">
        <f>363000-363000</f>
        <v>0</v>
      </c>
    </row>
    <row r="175" spans="1:9" ht="21">
      <c r="A175" s="51" t="s">
        <v>219</v>
      </c>
      <c r="B175" s="1"/>
      <c r="C175" s="1"/>
      <c r="D175" s="1"/>
      <c r="E175" s="1"/>
      <c r="F175" s="1"/>
      <c r="G175" s="1"/>
      <c r="H175" s="44"/>
      <c r="I175" s="47">
        <f>148000</f>
        <v>148000</v>
      </c>
    </row>
    <row r="176" spans="1:9" ht="21">
      <c r="A176" s="51" t="s">
        <v>220</v>
      </c>
      <c r="B176" s="1"/>
      <c r="C176" s="1"/>
      <c r="D176" s="1"/>
      <c r="E176" s="1"/>
      <c r="F176" s="1"/>
      <c r="G176" s="1"/>
      <c r="H176" s="44"/>
      <c r="I176" s="30">
        <f>178000-178000</f>
        <v>0</v>
      </c>
    </row>
    <row r="177" spans="1:9" ht="21.75" thickBot="1">
      <c r="A177" s="46"/>
      <c r="B177" s="308" t="s">
        <v>97</v>
      </c>
      <c r="C177" s="308"/>
      <c r="D177" s="308"/>
      <c r="E177" s="308"/>
      <c r="F177" s="308"/>
      <c r="G177" s="308"/>
      <c r="H177" s="44"/>
      <c r="I177" s="84">
        <f>SUM(I172:I176)</f>
        <v>591082.14000000013</v>
      </c>
    </row>
    <row r="178" spans="1:9" ht="21.75" thickTop="1">
      <c r="A178" s="46"/>
      <c r="B178" s="281"/>
      <c r="C178" s="281"/>
      <c r="D178" s="281"/>
      <c r="E178" s="281"/>
      <c r="F178" s="281"/>
      <c r="G178" s="281"/>
      <c r="H178" s="44"/>
      <c r="I178" s="49"/>
    </row>
    <row r="179" spans="1:9" ht="10.5" customHeight="1">
      <c r="A179" s="46"/>
      <c r="B179" s="281"/>
      <c r="C179" s="281"/>
      <c r="D179" s="281"/>
      <c r="E179" s="281"/>
      <c r="F179" s="281"/>
      <c r="G179" s="281"/>
      <c r="H179" s="44"/>
      <c r="I179" s="49"/>
    </row>
    <row r="180" spans="1:9" ht="21">
      <c r="A180" s="48" t="s">
        <v>229</v>
      </c>
      <c r="B180" s="81"/>
      <c r="C180" s="81"/>
      <c r="D180" s="1"/>
      <c r="E180" s="1"/>
      <c r="F180" s="1"/>
      <c r="G180" s="1"/>
      <c r="H180" s="44"/>
      <c r="I180" s="44"/>
    </row>
    <row r="181" spans="1:9" ht="21">
      <c r="A181" s="141" t="s">
        <v>129</v>
      </c>
      <c r="B181" s="81"/>
      <c r="C181" s="81"/>
      <c r="D181" s="1"/>
      <c r="E181" s="1"/>
      <c r="F181" s="1"/>
      <c r="G181" s="1"/>
      <c r="H181" s="44"/>
      <c r="I181" s="82" t="s">
        <v>26</v>
      </c>
    </row>
    <row r="182" spans="1:9" ht="21">
      <c r="A182" s="46" t="s">
        <v>132</v>
      </c>
      <c r="B182" s="1"/>
      <c r="C182" s="1"/>
      <c r="D182" s="1"/>
      <c r="E182" s="1"/>
      <c r="F182" s="1"/>
      <c r="G182" s="1"/>
      <c r="H182" s="44"/>
      <c r="I182" s="142">
        <v>28601.59</v>
      </c>
    </row>
    <row r="183" spans="1:9" ht="21">
      <c r="A183" s="46" t="s">
        <v>317</v>
      </c>
      <c r="B183" s="1"/>
      <c r="C183" s="1"/>
      <c r="D183" s="1"/>
      <c r="E183" s="1"/>
      <c r="F183" s="1"/>
      <c r="G183" s="1"/>
      <c r="H183" s="44"/>
      <c r="I183" s="142">
        <v>1000</v>
      </c>
    </row>
    <row r="184" spans="1:9" ht="21">
      <c r="A184" s="46" t="s">
        <v>133</v>
      </c>
      <c r="B184" s="1"/>
      <c r="C184" s="1"/>
      <c r="D184" s="1"/>
      <c r="E184" s="1"/>
      <c r="F184" s="1"/>
      <c r="G184" s="1"/>
      <c r="H184" s="44"/>
      <c r="I184" s="47">
        <f>686595+24400-1600-22700+62950-208070</f>
        <v>541575</v>
      </c>
    </row>
    <row r="185" spans="1:9" ht="21">
      <c r="A185" s="46" t="s">
        <v>134</v>
      </c>
      <c r="B185" s="1"/>
      <c r="C185" s="1"/>
      <c r="D185" s="1"/>
      <c r="E185" s="1"/>
      <c r="F185" s="1"/>
      <c r="G185" s="1"/>
      <c r="H185" s="44"/>
      <c r="I185" s="47">
        <f>31.74+18.96+558.96</f>
        <v>609.66000000000008</v>
      </c>
    </row>
    <row r="186" spans="1:9" ht="21">
      <c r="A186" s="1" t="s">
        <v>151</v>
      </c>
      <c r="B186" s="81"/>
      <c r="C186" s="1"/>
      <c r="D186" s="1"/>
      <c r="E186" s="1"/>
      <c r="F186" s="1"/>
      <c r="G186" s="1"/>
      <c r="H186" s="44"/>
      <c r="I186" s="47">
        <f>80-80+200</f>
        <v>200</v>
      </c>
    </row>
    <row r="187" spans="1:9" ht="21">
      <c r="A187" s="46" t="s">
        <v>152</v>
      </c>
      <c r="B187" s="81"/>
      <c r="C187" s="1"/>
      <c r="D187" s="1"/>
      <c r="E187" s="1"/>
      <c r="F187" s="1"/>
      <c r="G187" s="1"/>
      <c r="H187" s="44"/>
      <c r="I187" s="45">
        <v>986523.08</v>
      </c>
    </row>
    <row r="188" spans="1:9" ht="21.75" thickBot="1">
      <c r="A188" s="1"/>
      <c r="B188" s="308" t="s">
        <v>97</v>
      </c>
      <c r="C188" s="308"/>
      <c r="D188" s="308"/>
      <c r="E188" s="308"/>
      <c r="F188" s="308"/>
      <c r="G188" s="308"/>
      <c r="H188" s="281"/>
      <c r="I188" s="144">
        <f>SUM(I182:I187)</f>
        <v>1558509.33</v>
      </c>
    </row>
    <row r="189" spans="1:9" ht="19.5" thickTop="1"/>
    <row r="209" spans="1:9" ht="21">
      <c r="A209" s="309" t="s">
        <v>25</v>
      </c>
      <c r="B209" s="309"/>
      <c r="C209" s="309"/>
      <c r="D209" s="309"/>
      <c r="E209" s="309"/>
      <c r="F209" s="309"/>
      <c r="G209" s="309"/>
      <c r="H209" s="309"/>
      <c r="I209" s="309"/>
    </row>
    <row r="210" spans="1:9" ht="21">
      <c r="A210" s="309" t="s">
        <v>127</v>
      </c>
      <c r="B210" s="309"/>
      <c r="C210" s="309"/>
      <c r="D210" s="309"/>
      <c r="E210" s="309"/>
      <c r="F210" s="309"/>
      <c r="G210" s="309"/>
      <c r="H210" s="309"/>
      <c r="I210" s="309"/>
    </row>
    <row r="211" spans="1:9" ht="21">
      <c r="A211" s="309" t="s">
        <v>336</v>
      </c>
      <c r="B211" s="309"/>
      <c r="C211" s="309"/>
      <c r="D211" s="309"/>
      <c r="E211" s="309"/>
      <c r="F211" s="309"/>
      <c r="G211" s="309"/>
      <c r="H211" s="309"/>
      <c r="I211" s="309"/>
    </row>
    <row r="212" spans="1:9" ht="21">
      <c r="A212" s="48" t="s">
        <v>128</v>
      </c>
      <c r="B212" s="81"/>
      <c r="C212" s="81"/>
      <c r="D212" s="1"/>
      <c r="E212" s="1"/>
      <c r="F212" s="1"/>
      <c r="G212" s="1"/>
      <c r="H212" s="44"/>
      <c r="I212" s="44"/>
    </row>
    <row r="213" spans="1:9" ht="21">
      <c r="A213" s="141" t="s">
        <v>129</v>
      </c>
      <c r="B213" s="81"/>
      <c r="C213" s="81"/>
      <c r="D213" s="81"/>
      <c r="E213" s="81"/>
      <c r="F213" s="81"/>
      <c r="G213" s="81"/>
      <c r="H213" s="52"/>
      <c r="I213" s="82" t="s">
        <v>26</v>
      </c>
    </row>
    <row r="214" spans="1:9" ht="21">
      <c r="A214" s="51" t="s">
        <v>210</v>
      </c>
      <c r="B214" s="1"/>
      <c r="C214" s="1"/>
      <c r="D214" s="1"/>
      <c r="E214" s="1"/>
      <c r="F214" s="1"/>
      <c r="G214" s="1"/>
      <c r="H214" s="44"/>
      <c r="I214" s="47">
        <f>3620000-873675.86-2534000</f>
        <v>212324.14000000013</v>
      </c>
    </row>
    <row r="215" spans="1:9" ht="21">
      <c r="A215" s="51" t="s">
        <v>185</v>
      </c>
      <c r="B215" s="1"/>
      <c r="C215" s="1"/>
      <c r="D215" s="1"/>
      <c r="E215" s="1"/>
      <c r="F215" s="1"/>
      <c r="G215" s="1"/>
      <c r="H215" s="44"/>
      <c r="I215" s="47">
        <f>752375-521617</f>
        <v>230758</v>
      </c>
    </row>
    <row r="216" spans="1:9" ht="21">
      <c r="A216" s="51" t="s">
        <v>218</v>
      </c>
      <c r="B216" s="1"/>
      <c r="C216" s="1"/>
      <c r="D216" s="1"/>
      <c r="E216" s="1"/>
      <c r="F216" s="1"/>
      <c r="G216" s="1"/>
      <c r="H216" s="44"/>
      <c r="I216" s="47">
        <f>363000-363000</f>
        <v>0</v>
      </c>
    </row>
    <row r="217" spans="1:9" ht="21">
      <c r="A217" s="51" t="s">
        <v>219</v>
      </c>
      <c r="B217" s="1"/>
      <c r="C217" s="1"/>
      <c r="D217" s="1"/>
      <c r="E217" s="1"/>
      <c r="F217" s="1"/>
      <c r="G217" s="1"/>
      <c r="H217" s="44"/>
      <c r="I217" s="47">
        <f>148000-148000</f>
        <v>0</v>
      </c>
    </row>
    <row r="218" spans="1:9" ht="21">
      <c r="A218" s="51" t="s">
        <v>220</v>
      </c>
      <c r="B218" s="1"/>
      <c r="C218" s="1"/>
      <c r="D218" s="1"/>
      <c r="E218" s="1"/>
      <c r="F218" s="1"/>
      <c r="G218" s="1"/>
      <c r="H218" s="44"/>
      <c r="I218" s="30">
        <f>178000-178000</f>
        <v>0</v>
      </c>
    </row>
    <row r="219" spans="1:9" ht="21.75" thickBot="1">
      <c r="A219" s="46"/>
      <c r="B219" s="308" t="s">
        <v>97</v>
      </c>
      <c r="C219" s="308"/>
      <c r="D219" s="308"/>
      <c r="E219" s="308"/>
      <c r="F219" s="308"/>
      <c r="G219" s="308"/>
      <c r="H219" s="44"/>
      <c r="I219" s="84">
        <f>SUM(I214:I218)</f>
        <v>443082.14000000013</v>
      </c>
    </row>
    <row r="220" spans="1:9" ht="21.75" thickTop="1">
      <c r="A220" s="46"/>
      <c r="B220" s="287"/>
      <c r="C220" s="287"/>
      <c r="D220" s="287"/>
      <c r="E220" s="287"/>
      <c r="F220" s="287"/>
      <c r="G220" s="287"/>
      <c r="H220" s="44"/>
      <c r="I220" s="49"/>
    </row>
    <row r="221" spans="1:9" ht="10.5" customHeight="1">
      <c r="A221" s="46"/>
      <c r="B221" s="287"/>
      <c r="C221" s="287"/>
      <c r="D221" s="287"/>
      <c r="E221" s="287"/>
      <c r="F221" s="287"/>
      <c r="G221" s="287"/>
      <c r="H221" s="44"/>
      <c r="I221" s="49"/>
    </row>
    <row r="222" spans="1:9" ht="21">
      <c r="A222" s="48" t="s">
        <v>229</v>
      </c>
      <c r="B222" s="81"/>
      <c r="C222" s="81"/>
      <c r="D222" s="1"/>
      <c r="E222" s="1"/>
      <c r="F222" s="1"/>
      <c r="G222" s="1"/>
      <c r="H222" s="44"/>
      <c r="I222" s="44"/>
    </row>
    <row r="223" spans="1:9" ht="21">
      <c r="A223" s="141" t="s">
        <v>129</v>
      </c>
      <c r="B223" s="81"/>
      <c r="C223" s="81"/>
      <c r="D223" s="1"/>
      <c r="E223" s="1"/>
      <c r="F223" s="1"/>
      <c r="G223" s="1"/>
      <c r="H223" s="44"/>
      <c r="I223" s="82" t="s">
        <v>26</v>
      </c>
    </row>
    <row r="224" spans="1:9" ht="21">
      <c r="A224" s="46" t="s">
        <v>132</v>
      </c>
      <c r="B224" s="1"/>
      <c r="C224" s="1"/>
      <c r="D224" s="1"/>
      <c r="E224" s="1"/>
      <c r="F224" s="1"/>
      <c r="G224" s="1"/>
      <c r="H224" s="44"/>
      <c r="I224" s="142">
        <f>28601.59-28601.59+3216.6+1000</f>
        <v>4216.6000000000004</v>
      </c>
    </row>
    <row r="225" spans="1:9" ht="21">
      <c r="A225" s="46" t="s">
        <v>133</v>
      </c>
      <c r="B225" s="1"/>
      <c r="C225" s="1"/>
      <c r="D225" s="1"/>
      <c r="E225" s="1"/>
      <c r="F225" s="1"/>
      <c r="G225" s="1"/>
      <c r="H225" s="44"/>
      <c r="I225" s="47">
        <f>686595+24400-1600-22700+62950-208070+23435-24900</f>
        <v>540110</v>
      </c>
    </row>
    <row r="226" spans="1:9" ht="21">
      <c r="A226" s="46" t="s">
        <v>134</v>
      </c>
      <c r="B226" s="1"/>
      <c r="C226" s="1"/>
      <c r="D226" s="1"/>
      <c r="E226" s="1"/>
      <c r="F226" s="1"/>
      <c r="G226" s="1"/>
      <c r="H226" s="44"/>
      <c r="I226" s="47">
        <f>31.74+18.96+558.96+2062.14</f>
        <v>2671.8</v>
      </c>
    </row>
    <row r="227" spans="1:9" ht="21">
      <c r="A227" s="1" t="s">
        <v>151</v>
      </c>
      <c r="B227" s="81"/>
      <c r="C227" s="1"/>
      <c r="D227" s="1"/>
      <c r="E227" s="1"/>
      <c r="F227" s="1"/>
      <c r="G227" s="1"/>
      <c r="H227" s="44"/>
      <c r="I227" s="47">
        <f>80-80+200+260-260</f>
        <v>200</v>
      </c>
    </row>
    <row r="228" spans="1:9" ht="21">
      <c r="A228" s="46" t="s">
        <v>152</v>
      </c>
      <c r="B228" s="81"/>
      <c r="C228" s="1"/>
      <c r="D228" s="1"/>
      <c r="E228" s="1"/>
      <c r="F228" s="1"/>
      <c r="G228" s="1"/>
      <c r="H228" s="44"/>
      <c r="I228" s="45">
        <f>986523.08+1913.58</f>
        <v>988436.65999999992</v>
      </c>
    </row>
    <row r="229" spans="1:9" ht="21.75" thickBot="1">
      <c r="A229" s="1"/>
      <c r="B229" s="308" t="s">
        <v>97</v>
      </c>
      <c r="C229" s="308"/>
      <c r="D229" s="308"/>
      <c r="E229" s="308"/>
      <c r="F229" s="308"/>
      <c r="G229" s="308"/>
      <c r="H229" s="287"/>
      <c r="I229" s="144">
        <f>SUM(I224:I228)</f>
        <v>1535635.06</v>
      </c>
    </row>
    <row r="230" spans="1:9" ht="19.5" thickTop="1"/>
    <row r="251" spans="1:9" ht="21">
      <c r="A251" s="309" t="s">
        <v>25</v>
      </c>
      <c r="B251" s="309"/>
      <c r="C251" s="309"/>
      <c r="D251" s="309"/>
      <c r="E251" s="309"/>
      <c r="F251" s="309"/>
      <c r="G251" s="309"/>
      <c r="H251" s="309"/>
      <c r="I251" s="309"/>
    </row>
    <row r="252" spans="1:9" ht="21">
      <c r="A252" s="309" t="s">
        <v>127</v>
      </c>
      <c r="B252" s="309"/>
      <c r="C252" s="309"/>
      <c r="D252" s="309"/>
      <c r="E252" s="309"/>
      <c r="F252" s="309"/>
      <c r="G252" s="309"/>
      <c r="H252" s="309"/>
      <c r="I252" s="309"/>
    </row>
    <row r="253" spans="1:9" ht="21">
      <c r="A253" s="309" t="s">
        <v>353</v>
      </c>
      <c r="B253" s="309"/>
      <c r="C253" s="309"/>
      <c r="D253" s="309"/>
      <c r="E253" s="309"/>
      <c r="F253" s="309"/>
      <c r="G253" s="309"/>
      <c r="H253" s="309"/>
      <c r="I253" s="309"/>
    </row>
    <row r="254" spans="1:9" ht="21">
      <c r="A254" s="48" t="s">
        <v>128</v>
      </c>
      <c r="B254" s="81"/>
      <c r="C254" s="81"/>
      <c r="D254" s="1"/>
      <c r="E254" s="1"/>
      <c r="F254" s="1"/>
      <c r="G254" s="1"/>
      <c r="H254" s="44"/>
      <c r="I254" s="44"/>
    </row>
    <row r="255" spans="1:9" ht="21">
      <c r="A255" s="141" t="s">
        <v>129</v>
      </c>
      <c r="B255" s="81"/>
      <c r="C255" s="81"/>
      <c r="D255" s="81"/>
      <c r="E255" s="81"/>
      <c r="F255" s="81"/>
      <c r="G255" s="81"/>
      <c r="H255" s="52"/>
      <c r="I255" s="82" t="s">
        <v>26</v>
      </c>
    </row>
    <row r="256" spans="1:9" ht="21">
      <c r="A256" s="51" t="s">
        <v>210</v>
      </c>
      <c r="B256" s="1"/>
      <c r="C256" s="1"/>
      <c r="D256" s="1"/>
      <c r="E256" s="1"/>
      <c r="F256" s="1"/>
      <c r="G256" s="1"/>
      <c r="H256" s="44"/>
      <c r="I256" s="47">
        <f>3620000-873675.86-2534000</f>
        <v>212324.14000000013</v>
      </c>
    </row>
    <row r="257" spans="1:9" ht="21">
      <c r="A257" s="51" t="s">
        <v>185</v>
      </c>
      <c r="B257" s="1"/>
      <c r="C257" s="1"/>
      <c r="D257" s="1"/>
      <c r="E257" s="1"/>
      <c r="F257" s="1"/>
      <c r="G257" s="1"/>
      <c r="H257" s="44"/>
      <c r="I257" s="47">
        <f>752375-521617</f>
        <v>230758</v>
      </c>
    </row>
    <row r="258" spans="1:9" ht="21">
      <c r="A258" s="51" t="s">
        <v>218</v>
      </c>
      <c r="B258" s="1"/>
      <c r="C258" s="1"/>
      <c r="D258" s="1"/>
      <c r="E258" s="1"/>
      <c r="F258" s="1"/>
      <c r="G258" s="1"/>
      <c r="H258" s="44"/>
      <c r="I258" s="47">
        <f>363000-363000</f>
        <v>0</v>
      </c>
    </row>
    <row r="259" spans="1:9" ht="21">
      <c r="A259" s="51" t="s">
        <v>219</v>
      </c>
      <c r="B259" s="1"/>
      <c r="C259" s="1"/>
      <c r="D259" s="1"/>
      <c r="E259" s="1"/>
      <c r="F259" s="1"/>
      <c r="G259" s="1"/>
      <c r="H259" s="44"/>
      <c r="I259" s="47">
        <f>148000-148000</f>
        <v>0</v>
      </c>
    </row>
    <row r="260" spans="1:9" ht="21">
      <c r="A260" s="51" t="s">
        <v>220</v>
      </c>
      <c r="B260" s="1"/>
      <c r="C260" s="1"/>
      <c r="D260" s="1"/>
      <c r="E260" s="1"/>
      <c r="F260" s="1"/>
      <c r="G260" s="1"/>
      <c r="H260" s="44"/>
      <c r="I260" s="30">
        <f>178000-178000</f>
        <v>0</v>
      </c>
    </row>
    <row r="261" spans="1:9" ht="21.75" thickBot="1">
      <c r="A261" s="46"/>
      <c r="B261" s="308" t="s">
        <v>97</v>
      </c>
      <c r="C261" s="308"/>
      <c r="D261" s="308"/>
      <c r="E261" s="308"/>
      <c r="F261" s="308"/>
      <c r="G261" s="308"/>
      <c r="H261" s="44"/>
      <c r="I261" s="84">
        <f>SUM(I256:I260)</f>
        <v>443082.14000000013</v>
      </c>
    </row>
    <row r="262" spans="1:9" ht="21.75" thickTop="1">
      <c r="A262" s="46"/>
      <c r="B262" s="293"/>
      <c r="C262" s="293"/>
      <c r="D262" s="293"/>
      <c r="E262" s="293"/>
      <c r="F262" s="293"/>
      <c r="G262" s="293"/>
      <c r="H262" s="44"/>
      <c r="I262" s="49"/>
    </row>
    <row r="263" spans="1:9" ht="10.5" customHeight="1">
      <c r="A263" s="46"/>
      <c r="B263" s="293"/>
      <c r="C263" s="293"/>
      <c r="D263" s="293"/>
      <c r="E263" s="293"/>
      <c r="F263" s="293"/>
      <c r="G263" s="293"/>
      <c r="H263" s="44"/>
      <c r="I263" s="49"/>
    </row>
    <row r="264" spans="1:9" ht="21">
      <c r="A264" s="48" t="s">
        <v>229</v>
      </c>
      <c r="B264" s="81"/>
      <c r="C264" s="81"/>
      <c r="D264" s="1"/>
      <c r="E264" s="1"/>
      <c r="F264" s="1"/>
      <c r="G264" s="1"/>
      <c r="H264" s="44"/>
      <c r="I264" s="44"/>
    </row>
    <row r="265" spans="1:9" ht="21">
      <c r="A265" s="141" t="s">
        <v>129</v>
      </c>
      <c r="B265" s="81"/>
      <c r="C265" s="81"/>
      <c r="D265" s="1"/>
      <c r="E265" s="1"/>
      <c r="F265" s="1"/>
      <c r="G265" s="1"/>
      <c r="H265" s="44"/>
      <c r="I265" s="82" t="s">
        <v>26</v>
      </c>
    </row>
    <row r="266" spans="1:9" ht="21">
      <c r="A266" s="46" t="s">
        <v>132</v>
      </c>
      <c r="B266" s="1"/>
      <c r="C266" s="1"/>
      <c r="D266" s="1"/>
      <c r="E266" s="1"/>
      <c r="F266" s="1"/>
      <c r="G266" s="1"/>
      <c r="H266" s="44"/>
      <c r="I266" s="142">
        <f>28601.59-28601.59+3216.6+1000+33901.95+1000-4216.6</f>
        <v>34901.949999999997</v>
      </c>
    </row>
    <row r="267" spans="1:9" ht="21">
      <c r="A267" s="46" t="s">
        <v>133</v>
      </c>
      <c r="B267" s="1"/>
      <c r="C267" s="1"/>
      <c r="D267" s="1"/>
      <c r="E267" s="1"/>
      <c r="F267" s="1"/>
      <c r="G267" s="1"/>
      <c r="H267" s="44"/>
      <c r="I267" s="47">
        <f>686595+24400-1600-22700+62950-208070+23435-24900+29400-9950</f>
        <v>559560</v>
      </c>
    </row>
    <row r="268" spans="1:9" ht="21">
      <c r="A268" s="46" t="s">
        <v>134</v>
      </c>
      <c r="B268" s="1"/>
      <c r="C268" s="1"/>
      <c r="D268" s="1"/>
      <c r="E268" s="1"/>
      <c r="F268" s="1"/>
      <c r="G268" s="1"/>
      <c r="H268" s="44"/>
      <c r="I268" s="47">
        <f>31.74+18.96+558.96+2062.14+1810.26</f>
        <v>4482.0600000000004</v>
      </c>
    </row>
    <row r="269" spans="1:9" ht="21">
      <c r="A269" s="1" t="s">
        <v>151</v>
      </c>
      <c r="B269" s="81"/>
      <c r="C269" s="1"/>
      <c r="D269" s="1"/>
      <c r="E269" s="1"/>
      <c r="F269" s="1"/>
      <c r="G269" s="1"/>
      <c r="H269" s="44"/>
      <c r="I269" s="47">
        <f>80-80+200+260-260-200+80</f>
        <v>80</v>
      </c>
    </row>
    <row r="270" spans="1:9" ht="21">
      <c r="A270" s="46" t="s">
        <v>152</v>
      </c>
      <c r="B270" s="81"/>
      <c r="C270" s="1"/>
      <c r="D270" s="1"/>
      <c r="E270" s="1"/>
      <c r="F270" s="1"/>
      <c r="G270" s="1"/>
      <c r="H270" s="44"/>
      <c r="I270" s="45">
        <f>986523.08+1913.58</f>
        <v>988436.65999999992</v>
      </c>
    </row>
    <row r="271" spans="1:9" ht="21.75" thickBot="1">
      <c r="A271" s="1"/>
      <c r="B271" s="308" t="s">
        <v>97</v>
      </c>
      <c r="C271" s="308"/>
      <c r="D271" s="308"/>
      <c r="E271" s="308"/>
      <c r="F271" s="308"/>
      <c r="G271" s="308"/>
      <c r="H271" s="293"/>
      <c r="I271" s="144">
        <f>SUM(I266:I270)</f>
        <v>1587460.67</v>
      </c>
    </row>
    <row r="272" spans="1:9" ht="19.5" thickTop="1"/>
    <row r="293" spans="1:9" ht="21">
      <c r="A293" s="309" t="s">
        <v>25</v>
      </c>
      <c r="B293" s="309"/>
      <c r="C293" s="309"/>
      <c r="D293" s="309"/>
      <c r="E293" s="309"/>
      <c r="F293" s="309"/>
      <c r="G293" s="309"/>
      <c r="H293" s="309"/>
      <c r="I293" s="309"/>
    </row>
    <row r="294" spans="1:9" ht="21">
      <c r="A294" s="309" t="s">
        <v>127</v>
      </c>
      <c r="B294" s="309"/>
      <c r="C294" s="309"/>
      <c r="D294" s="309"/>
      <c r="E294" s="309"/>
      <c r="F294" s="309"/>
      <c r="G294" s="309"/>
      <c r="H294" s="309"/>
      <c r="I294" s="309"/>
    </row>
    <row r="295" spans="1:9" ht="21">
      <c r="A295" s="309" t="s">
        <v>365</v>
      </c>
      <c r="B295" s="309"/>
      <c r="C295" s="309"/>
      <c r="D295" s="309"/>
      <c r="E295" s="309"/>
      <c r="F295" s="309"/>
      <c r="G295" s="309"/>
      <c r="H295" s="309"/>
      <c r="I295" s="309"/>
    </row>
    <row r="296" spans="1:9" ht="21">
      <c r="A296" s="48" t="s">
        <v>128</v>
      </c>
      <c r="B296" s="81"/>
      <c r="C296" s="81"/>
      <c r="D296" s="1"/>
      <c r="E296" s="1"/>
      <c r="F296" s="1"/>
      <c r="G296" s="1"/>
      <c r="H296" s="44"/>
      <c r="I296" s="44"/>
    </row>
    <row r="297" spans="1:9" ht="21">
      <c r="A297" s="141" t="s">
        <v>129</v>
      </c>
      <c r="B297" s="81"/>
      <c r="C297" s="81"/>
      <c r="D297" s="81"/>
      <c r="E297" s="81"/>
      <c r="F297" s="81"/>
      <c r="G297" s="81"/>
      <c r="H297" s="52"/>
      <c r="I297" s="82" t="s">
        <v>26</v>
      </c>
    </row>
    <row r="298" spans="1:9" ht="21">
      <c r="A298" s="51" t="s">
        <v>210</v>
      </c>
      <c r="B298" s="1"/>
      <c r="C298" s="1"/>
      <c r="D298" s="1"/>
      <c r="E298" s="1"/>
      <c r="F298" s="1"/>
      <c r="G298" s="1"/>
      <c r="H298" s="44"/>
      <c r="I298" s="47">
        <f>3620000-873675.86-2534000</f>
        <v>212324.14000000013</v>
      </c>
    </row>
    <row r="299" spans="1:9" ht="21">
      <c r="A299" s="51" t="s">
        <v>185</v>
      </c>
      <c r="B299" s="1"/>
      <c r="C299" s="1"/>
      <c r="D299" s="1"/>
      <c r="E299" s="1"/>
      <c r="F299" s="1"/>
      <c r="G299" s="1"/>
      <c r="H299" s="44"/>
      <c r="I299" s="47">
        <f>752375-521617</f>
        <v>230758</v>
      </c>
    </row>
    <row r="300" spans="1:9" ht="21">
      <c r="A300" s="51" t="s">
        <v>218</v>
      </c>
      <c r="B300" s="1"/>
      <c r="C300" s="1"/>
      <c r="D300" s="1"/>
      <c r="E300" s="1"/>
      <c r="F300" s="1"/>
      <c r="G300" s="1"/>
      <c r="H300" s="44"/>
      <c r="I300" s="47">
        <f>363000-363000</f>
        <v>0</v>
      </c>
    </row>
    <row r="301" spans="1:9" ht="21">
      <c r="A301" s="51" t="s">
        <v>219</v>
      </c>
      <c r="B301" s="1"/>
      <c r="C301" s="1"/>
      <c r="D301" s="1"/>
      <c r="E301" s="1"/>
      <c r="F301" s="1"/>
      <c r="G301" s="1"/>
      <c r="H301" s="44"/>
      <c r="I301" s="47">
        <f>148000-148000</f>
        <v>0</v>
      </c>
    </row>
    <row r="302" spans="1:9" ht="21">
      <c r="A302" s="51" t="s">
        <v>220</v>
      </c>
      <c r="B302" s="1"/>
      <c r="C302" s="1"/>
      <c r="D302" s="1"/>
      <c r="E302" s="1"/>
      <c r="F302" s="1"/>
      <c r="G302" s="1"/>
      <c r="H302" s="44"/>
      <c r="I302" s="30">
        <f>178000-178000</f>
        <v>0</v>
      </c>
    </row>
    <row r="303" spans="1:9" ht="21.75" thickBot="1">
      <c r="A303" s="46"/>
      <c r="B303" s="308" t="s">
        <v>97</v>
      </c>
      <c r="C303" s="308"/>
      <c r="D303" s="308"/>
      <c r="E303" s="308"/>
      <c r="F303" s="308"/>
      <c r="G303" s="308"/>
      <c r="H303" s="44"/>
      <c r="I303" s="84">
        <f>SUM(I298:I302)</f>
        <v>443082.14000000013</v>
      </c>
    </row>
    <row r="304" spans="1:9" ht="21.75" thickTop="1">
      <c r="A304" s="46"/>
      <c r="B304" s="298"/>
      <c r="C304" s="298"/>
      <c r="D304" s="298"/>
      <c r="E304" s="298"/>
      <c r="F304" s="298"/>
      <c r="G304" s="298"/>
      <c r="H304" s="44"/>
      <c r="I304" s="49"/>
    </row>
    <row r="305" spans="1:9" ht="10.5" customHeight="1">
      <c r="A305" s="46"/>
      <c r="B305" s="298"/>
      <c r="C305" s="298"/>
      <c r="D305" s="298"/>
      <c r="E305" s="298"/>
      <c r="F305" s="298"/>
      <c r="G305" s="298"/>
      <c r="H305" s="44"/>
      <c r="I305" s="49"/>
    </row>
    <row r="306" spans="1:9" ht="21">
      <c r="A306" s="48" t="s">
        <v>229</v>
      </c>
      <c r="B306" s="81"/>
      <c r="C306" s="81"/>
      <c r="D306" s="1"/>
      <c r="E306" s="1"/>
      <c r="F306" s="1"/>
      <c r="G306" s="1"/>
      <c r="H306" s="44"/>
      <c r="I306" s="44"/>
    </row>
    <row r="307" spans="1:9" ht="21">
      <c r="A307" s="141" t="s">
        <v>129</v>
      </c>
      <c r="B307" s="81"/>
      <c r="C307" s="81"/>
      <c r="D307" s="1"/>
      <c r="E307" s="1"/>
      <c r="F307" s="1"/>
      <c r="G307" s="1"/>
      <c r="H307" s="44"/>
      <c r="I307" s="82" t="s">
        <v>26</v>
      </c>
    </row>
    <row r="308" spans="1:9" ht="21">
      <c r="A308" s="46" t="s">
        <v>132</v>
      </c>
      <c r="B308" s="1"/>
      <c r="C308" s="1"/>
      <c r="D308" s="1"/>
      <c r="E308" s="1"/>
      <c r="F308" s="1"/>
      <c r="G308" s="1"/>
      <c r="H308" s="44"/>
      <c r="I308" s="142">
        <f>28601.59-28601.59+3216.6+1000+33901.95+1000-4216.6-34901.95+8537.03</f>
        <v>8537.0300000000007</v>
      </c>
    </row>
    <row r="309" spans="1:9" ht="21">
      <c r="A309" s="46" t="s">
        <v>133</v>
      </c>
      <c r="B309" s="1"/>
      <c r="C309" s="1"/>
      <c r="D309" s="1"/>
      <c r="E309" s="1"/>
      <c r="F309" s="1"/>
      <c r="G309" s="1"/>
      <c r="H309" s="44"/>
      <c r="I309" s="47">
        <f>686595+24400-1600-22700+62950-208070+23435-24900+29400-9950+55335-23450</f>
        <v>591445</v>
      </c>
    </row>
    <row r="310" spans="1:9" ht="21">
      <c r="A310" s="46" t="s">
        <v>134</v>
      </c>
      <c r="B310" s="1"/>
      <c r="C310" s="1"/>
      <c r="D310" s="1"/>
      <c r="E310" s="1"/>
      <c r="F310" s="1"/>
      <c r="G310" s="1"/>
      <c r="H310" s="44"/>
      <c r="I310" s="47">
        <f>31.74+18.96+558.96+2062.14+1810.26+98.52</f>
        <v>4580.5800000000008</v>
      </c>
    </row>
    <row r="311" spans="1:9" ht="21">
      <c r="A311" s="1" t="s">
        <v>151</v>
      </c>
      <c r="B311" s="81"/>
      <c r="C311" s="1"/>
      <c r="D311" s="1"/>
      <c r="E311" s="1"/>
      <c r="F311" s="1"/>
      <c r="G311" s="1"/>
      <c r="H311" s="44"/>
      <c r="I311" s="47">
        <f>80-80+200+260-260-200+80</f>
        <v>80</v>
      </c>
    </row>
    <row r="312" spans="1:9" ht="21">
      <c r="A312" s="46" t="s">
        <v>152</v>
      </c>
      <c r="B312" s="81"/>
      <c r="C312" s="1"/>
      <c r="D312" s="1"/>
      <c r="E312" s="1"/>
      <c r="F312" s="1"/>
      <c r="G312" s="1"/>
      <c r="H312" s="44"/>
      <c r="I312" s="45">
        <f>986523.08+1913.58</f>
        <v>988436.65999999992</v>
      </c>
    </row>
    <row r="313" spans="1:9" ht="21.75" thickBot="1">
      <c r="A313" s="1"/>
      <c r="B313" s="308" t="s">
        <v>97</v>
      </c>
      <c r="C313" s="308"/>
      <c r="D313" s="308"/>
      <c r="E313" s="308"/>
      <c r="F313" s="308"/>
      <c r="G313" s="308"/>
      <c r="H313" s="298"/>
      <c r="I313" s="144">
        <f>SUM(I308:I312)</f>
        <v>1593079.27</v>
      </c>
    </row>
    <row r="314" spans="1:9" ht="19.5" thickTop="1"/>
  </sheetData>
  <mergeCells count="41">
    <mergeCell ref="A293:I293"/>
    <mergeCell ref="A294:I294"/>
    <mergeCell ref="A295:I295"/>
    <mergeCell ref="B303:G303"/>
    <mergeCell ref="B313:G313"/>
    <mergeCell ref="A209:I209"/>
    <mergeCell ref="A210:I210"/>
    <mergeCell ref="A211:I211"/>
    <mergeCell ref="B219:G219"/>
    <mergeCell ref="B229:G229"/>
    <mergeCell ref="A125:I125"/>
    <mergeCell ref="A126:I126"/>
    <mergeCell ref="A127:I127"/>
    <mergeCell ref="B135:G135"/>
    <mergeCell ref="B145:G145"/>
    <mergeCell ref="B61:G61"/>
    <mergeCell ref="A41:I41"/>
    <mergeCell ref="A42:I42"/>
    <mergeCell ref="A43:I43"/>
    <mergeCell ref="B51:G51"/>
    <mergeCell ref="B39:G39"/>
    <mergeCell ref="A1:I1"/>
    <mergeCell ref="A2:I2"/>
    <mergeCell ref="A3:I3"/>
    <mergeCell ref="B23:G23"/>
    <mergeCell ref="B26:G26"/>
    <mergeCell ref="A83:I83"/>
    <mergeCell ref="A84:I84"/>
    <mergeCell ref="A85:I85"/>
    <mergeCell ref="B93:G93"/>
    <mergeCell ref="B103:G103"/>
    <mergeCell ref="A167:I167"/>
    <mergeCell ref="A168:I168"/>
    <mergeCell ref="A169:I169"/>
    <mergeCell ref="B177:G177"/>
    <mergeCell ref="B188:G188"/>
    <mergeCell ref="A251:I251"/>
    <mergeCell ref="A252:I252"/>
    <mergeCell ref="A253:I253"/>
    <mergeCell ref="B261:G261"/>
    <mergeCell ref="B271:G271"/>
  </mergeCells>
  <pageMargins left="0.8" right="0.24" top="0.33" bottom="0.38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แผ่นงาน</vt:lpstr>
      </vt:variant>
      <vt:variant>
        <vt:i4>5</vt:i4>
      </vt:variant>
    </vt:vector>
  </HeadingPairs>
  <TitlesOfParts>
    <vt:vector size="5" baseType="lpstr">
      <vt:lpstr>รายงานรับ - จ่าย เงินสด</vt:lpstr>
      <vt:lpstr>หมายเหตุงบรับ -จ่าย</vt:lpstr>
      <vt:lpstr>งบทดลองุ62</vt:lpstr>
      <vt:lpstr>หมายเหตุ1</vt:lpstr>
      <vt:lpstr>หมายเหตุ 2</vt:lpstr>
    </vt:vector>
  </TitlesOfParts>
  <Company>xxx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</dc:creator>
  <cp:lastModifiedBy>Administrator</cp:lastModifiedBy>
  <cp:lastPrinted>2019-06-11T03:35:00Z</cp:lastPrinted>
  <dcterms:created xsi:type="dcterms:W3CDTF">2006-01-04T02:05:20Z</dcterms:created>
  <dcterms:modified xsi:type="dcterms:W3CDTF">2019-06-25T04:18:05Z</dcterms:modified>
</cp:coreProperties>
</file>