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794" activeTab="3"/>
  </bookViews>
  <sheets>
    <sheet name="งบแสดงฐานะการเงิน" sheetId="1" r:id="rId1"/>
    <sheet name="หมายเหตุ 1 นโยบายฯ" sheetId="2" r:id="rId2"/>
    <sheet name="งบทรัพย์สิน" sheetId="3" r:id="rId3"/>
    <sheet name="หมายเหตุ 3,4,5,6" sheetId="4" r:id="rId4"/>
    <sheet name="หมายเหตุ 7" sheetId="5" r:id="rId5"/>
    <sheet name="หมายเหตุ 8" sheetId="6" r:id="rId6"/>
    <sheet name="หมายเหตุ9-11" sheetId="7" r:id="rId7"/>
    <sheet name="หมายเหตุ12-14" sheetId="8" r:id="rId8"/>
    <sheet name="หมายเหตุ 15" sheetId="9" r:id="rId9"/>
    <sheet name="หมายเหตุ 16-18" sheetId="10" r:id="rId10"/>
    <sheet name="หมายเหตุ 19-20" sheetId="11" r:id="rId11"/>
    <sheet name="หมายเหตุ 21" sheetId="12" r:id="rId12"/>
    <sheet name="รายละเอียดแนบท้ายหมายเหตุ21" sheetId="13" r:id="rId13"/>
    <sheet name="หมายเหตุ 22" sheetId="14" r:id="rId14"/>
    <sheet name="ตามแผนงาน 1" sheetId="15" r:id="rId15"/>
    <sheet name="ตามแผนงาน 2" sheetId="16" r:id="rId16"/>
    <sheet name="ตามแผนงาน 3" sheetId="17" r:id="rId17"/>
    <sheet name="ตามแผนงาน 4" sheetId="18" r:id="rId18"/>
    <sheet name="ตามแผนงาน 5" sheetId="19" r:id="rId19"/>
    <sheet name="ตามแผนงาน 6" sheetId="20" r:id="rId20"/>
    <sheet name="ตามแผนงาน 7" sheetId="21" r:id="rId21"/>
    <sheet name="ตามแผนงาน 8" sheetId="22" r:id="rId22"/>
    <sheet name="ตามแผนงาน 9" sheetId="23" r:id="rId23"/>
    <sheet name="ตามแผนงาน 10" sheetId="24" r:id="rId24"/>
    <sheet name="ตามแผนงาน 11" sheetId="25" r:id="rId25"/>
    <sheet name="ตามแผนงาน 12" sheetId="26" r:id="rId26"/>
    <sheet name="ตามแผนงานรวม" sheetId="27" r:id="rId27"/>
    <sheet name="จ่ายจากเงินสะสม" sheetId="28" r:id="rId28"/>
    <sheet name="จ่ายจากเงินทุนสำรองเงินสะสม " sheetId="29" r:id="rId29"/>
    <sheet name="จ่ายจากเงินกู้" sheetId="30" r:id="rId30"/>
    <sheet name="งบแสดงผลจ่ายจากเงินรายรับ" sheetId="31" r:id="rId31"/>
    <sheet name="งบแสดงผลฯเงินรายรับ เงินสะสม" sheetId="32" r:id="rId32"/>
    <sheet name="งบแสดงผลฯเงินรายรับ สะสม ทุน" sheetId="33" r:id="rId33"/>
    <sheet name="งบแสดงฯเงินรายรับ สะสม ทุน กู้" sheetId="34" r:id="rId34"/>
    <sheet name="ครุภัณฑ์" sheetId="35" r:id="rId35"/>
    <sheet name="ที่ดินและสิ่งก่อสร้าง" sheetId="36" r:id="rId36"/>
    <sheet name="รายละเอียดลูกหนี้ภาษีบำฯ" sheetId="37" r:id="rId37"/>
    <sheet name="รายละเอียดลูกหนี้ภาษีโรงฯ" sheetId="38" r:id="rId38"/>
    <sheet name="รายละเอียดลูกหนี้ภาษีป้าย" sheetId="39" r:id="rId39"/>
    <sheet name="รายละเอียดประกอบงบทรัพย์สิน" sheetId="40" r:id="rId40"/>
  </sheets>
  <definedNames>
    <definedName name="_xlnm.Print_Area" localSheetId="2">'งบทรัพย์สิน'!$A$1:$F$41</definedName>
    <definedName name="_xlnm.Print_Area" localSheetId="0">'งบแสดงฐานะการเงิน'!$A$1:$I$61</definedName>
    <definedName name="_xlnm.Print_Titles" localSheetId="30">'งบแสดงผลจ่ายจากเงินรายรับ'!$1:$3</definedName>
    <definedName name="_xlnm.Print_Titles" localSheetId="31">'งบแสดงผลฯเงินรายรับ เงินสะสม'!$A:$E,'งบแสดงผลฯเงินรายรับ เงินสะสม'!$1:$3</definedName>
    <definedName name="_xlnm.Print_Titles" localSheetId="32">'งบแสดงผลฯเงินรายรับ สะสม ทุน'!$1:$3</definedName>
    <definedName name="_xlnm.Print_Titles" localSheetId="33">'งบแสดงฯเงินรายรับ สะสม ทุน กู้'!$1:$3</definedName>
    <definedName name="_xlnm.Print_Titles" localSheetId="29">'จ่ายจากเงินกู้'!$1:$3</definedName>
    <definedName name="_xlnm.Print_Titles" localSheetId="28">'จ่ายจากเงินทุนสำรองเงินสะสม '!$1:$3</definedName>
    <definedName name="_xlnm.Print_Titles" localSheetId="27">'จ่ายจากเงินสะสม'!$1:$3</definedName>
    <definedName name="_xlnm.Print_Titles" localSheetId="14">'ตามแผนงาน 1'!$1:$3</definedName>
    <definedName name="_xlnm.Print_Titles" localSheetId="23">'ตามแผนงาน 10'!$1:$3</definedName>
    <definedName name="_xlnm.Print_Titles" localSheetId="24">'ตามแผนงาน 11'!$1:$3</definedName>
    <definedName name="_xlnm.Print_Titles" localSheetId="25">'ตามแผนงาน 12'!$1:$3</definedName>
    <definedName name="_xlnm.Print_Titles" localSheetId="15">'ตามแผนงาน 2'!$1:$3</definedName>
    <definedName name="_xlnm.Print_Titles" localSheetId="16">'ตามแผนงาน 3'!$1:$3</definedName>
    <definedName name="_xlnm.Print_Titles" localSheetId="17">'ตามแผนงาน 4'!$1:$3</definedName>
    <definedName name="_xlnm.Print_Titles" localSheetId="18">'ตามแผนงาน 5'!$1:$3</definedName>
    <definedName name="_xlnm.Print_Titles" localSheetId="19">'ตามแผนงาน 6'!$1:$3</definedName>
    <definedName name="_xlnm.Print_Titles" localSheetId="20">'ตามแผนงาน 7'!$1:$3</definedName>
    <definedName name="_xlnm.Print_Titles" localSheetId="21">'ตามแผนงาน 8'!$1:$3</definedName>
    <definedName name="_xlnm.Print_Titles" localSheetId="22">'ตามแผนงาน 9'!$1:$3</definedName>
    <definedName name="_xlnm.Print_Titles" localSheetId="26">'ตามแผนงานรวม'!$1:$3</definedName>
    <definedName name="_xlnm.Print_Titles" localSheetId="12">'รายละเอียดแนบท้ายหมายเหตุ21'!$1:$3</definedName>
    <definedName name="_xlnm.Print_Titles" localSheetId="39">'รายละเอียดประกอบงบทรัพย์สิน'!$1:$2</definedName>
    <definedName name="_xlnm.Print_Titles" localSheetId="36">'รายละเอียดลูกหนี้ภาษีบำฯ'!$1:$3</definedName>
    <definedName name="_xlnm.Print_Titles" localSheetId="38">'รายละเอียดลูกหนี้ภาษีป้าย'!$2:$4</definedName>
    <definedName name="_xlnm.Print_Titles" localSheetId="37">'รายละเอียดลูกหนี้ภาษีโรงฯ'!$2:$4</definedName>
    <definedName name="_xlnm.Print_Titles" localSheetId="1">'หมายเหตุ 1 นโยบายฯ'!$1:$3</definedName>
    <definedName name="_xlnm.Print_Titles" localSheetId="10">'หมายเหตุ 19-20'!$1:$3</definedName>
    <definedName name="_xlnm.Print_Titles" localSheetId="11">'หมายเหตุ 21'!$1:$3</definedName>
    <definedName name="_xlnm.Print_Titles" localSheetId="13">'หมายเหตุ 22'!$1:$3</definedName>
    <definedName name="_xlnm.Print_Titles" localSheetId="3">'หมายเหตุ 3,4,5,6'!$1:$3</definedName>
    <definedName name="_xlnm.Print_Titles" localSheetId="4">'หมายเหตุ 7'!$1:$3</definedName>
    <definedName name="_xlnm.Print_Titles" localSheetId="5">'หมายเหตุ 8'!$1:$3</definedName>
    <definedName name="_xlnm.Print_Titles" localSheetId="7">'หมายเหตุ12-14'!$1:$3</definedName>
    <definedName name="_xlnm.Print_Titles" localSheetId="6">'หมายเหตุ9-11'!$1:$3</definedName>
  </definedNames>
  <calcPr fullCalcOnLoad="1"/>
</workbook>
</file>

<file path=xl/sharedStrings.xml><?xml version="1.0" encoding="utf-8"?>
<sst xmlns="http://schemas.openxmlformats.org/spreadsheetml/2006/main" count="1574" uniqueCount="498">
  <si>
    <t>งบแสดงฐานะการเงิน</t>
  </si>
  <si>
    <t>สินทรัพย์</t>
  </si>
  <si>
    <t>ทรัพย์สินตามงบทรัพย์สิน</t>
  </si>
  <si>
    <t>เงินสดและเงินฝากธนาคาร</t>
  </si>
  <si>
    <t>ลูกหนี้ค่าภาษี</t>
  </si>
  <si>
    <t>ลูกหนี้เงินยืม</t>
  </si>
  <si>
    <t>ลูกหนี้เงินยืมเงินสะสม</t>
  </si>
  <si>
    <t>ลูกหนี้เงินทุนโครงการเศรษฐกิจชุมชน</t>
  </si>
  <si>
    <t>ลูกหนี้อื่น ๆ</t>
  </si>
  <si>
    <t>หุ้นในโรงพิมพ์อาสารักษาดินแดน</t>
  </si>
  <si>
    <t>รวมสินทรัพย์</t>
  </si>
  <si>
    <t>หนี้สิน</t>
  </si>
  <si>
    <t>ทุนทรัพย์สิน</t>
  </si>
  <si>
    <t>เงินรับฝาก</t>
  </si>
  <si>
    <t>รายจ่ายค้างจ่าย</t>
  </si>
  <si>
    <t>ฏีกาค้างจ่าย</t>
  </si>
  <si>
    <t>รายจ่ายผัดส่งใบสำคัญ</t>
  </si>
  <si>
    <t>เจ้าหนี้เงินกู้</t>
  </si>
  <si>
    <t>หนี้สินหมุนเวียนอื่น</t>
  </si>
  <si>
    <t>หนี้สินไม่หมุนเวียนอื่น</t>
  </si>
  <si>
    <t>รวมหนี้สิน</t>
  </si>
  <si>
    <t xml:space="preserve">เงินสะสม  </t>
  </si>
  <si>
    <t>เงินทุนสำรองเงินสะสม</t>
  </si>
  <si>
    <t>รวมเงินสะสม</t>
  </si>
  <si>
    <t>รวมหนี้สินและเงินสะสม</t>
  </si>
  <si>
    <t>งบทรัพย์สิน</t>
  </si>
  <si>
    <t>รายได้</t>
  </si>
  <si>
    <t>เงินกู้</t>
  </si>
  <si>
    <t>เงินอุดหนุน</t>
  </si>
  <si>
    <t>ประมาณการ</t>
  </si>
  <si>
    <t>จำนวนเงิน</t>
  </si>
  <si>
    <t>รายการ</t>
  </si>
  <si>
    <t>รายรับ</t>
  </si>
  <si>
    <t>รายจ่าย</t>
  </si>
  <si>
    <t>ก.  อสังหาริมทรัพย์</t>
  </si>
  <si>
    <t>ประเภททรัพย์สิน</t>
  </si>
  <si>
    <t>ข.  สังหาริมทรัพย์</t>
  </si>
  <si>
    <t>ราคาทรัพย์สิน</t>
  </si>
  <si>
    <t>รวมรายรับ</t>
  </si>
  <si>
    <t>แหล่งที่มาของทรัพย์สิน</t>
  </si>
  <si>
    <t>งบแสดงผลการดำเนินงานจ่ายจากเงินรายรับ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</si>
  <si>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</si>
  <si>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</si>
  <si>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</si>
  <si>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</si>
  <si>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ค่าตอบแทน</t>
  </si>
  <si>
    <t>ค่าใช้สอย</t>
  </si>
  <si>
    <t>ค่าวัสดุ</t>
  </si>
  <si>
    <t>รายจ่ายอื่น</t>
  </si>
  <si>
    <t>งบกลาง</t>
  </si>
  <si>
    <t>ค่าที่ดินและสิ่งก่อสร้าง</t>
  </si>
  <si>
    <t>รายได้จากทรัพย์สิน</t>
  </si>
  <si>
    <t>เงินสะสม</t>
  </si>
  <si>
    <t>หมายเหตุ</t>
  </si>
  <si>
    <t>สินทรัพย์หมุนเวียน</t>
  </si>
  <si>
    <t>รายได้จากรัฐบาลค้างรับ</t>
  </si>
  <si>
    <t xml:space="preserve">ลูกหนี้รายได้อื่น ๆ </t>
  </si>
  <si>
    <t xml:space="preserve">สินทรัพย์หมุนเวียนอื่น </t>
  </si>
  <si>
    <t>รวมสินทรัพย์หมุนเวียน</t>
  </si>
  <si>
    <t>รวมไม่สินทรัพย์หมุนเวียน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</si>
  <si>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</si>
  <si>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</si>
  <si>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</si>
  <si>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</si>
  <si>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ชื่อ</t>
  </si>
  <si>
    <t>หมายเหตุประกอบงบแสดงฐานะการเงิน</t>
  </si>
  <si>
    <t>หมายเหตุ 3  เงินสดและเงินฝากธนาคาร</t>
  </si>
  <si>
    <t>เงินสด</t>
  </si>
  <si>
    <t>รวม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</si>
  <si>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</si>
  <si>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</si>
  <si>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</si>
  <si>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</si>
  <si>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</si>
  <si>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>ลูกหนี้ภาษีบำรุงท้องที่</t>
  </si>
  <si>
    <t>ลูกหนี้ภาษีป้าย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</si>
  <si>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</si>
  <si>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</si>
  <si>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</si>
  <si>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</si>
  <si>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</si>
  <si>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</si>
  <si>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รายรับจริงสูงกว่ารายจ่ายจริง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</si>
  <si>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</si>
  <si>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</si>
  <si>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</si>
  <si>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</si>
  <si>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4. ลูกหนี้รายได้อื่น ๆ</t>
  </si>
  <si>
    <t>6. เงินสะสมที่สามารถนำไปใช้ได้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</si>
  <si>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</si>
  <si>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</si>
  <si>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</si>
  <si>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</si>
  <si>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</si>
  <si>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งบ</t>
  </si>
  <si>
    <t>หมายเหตุ   ระบุเงินงบประมาณหรือเงินอุดหนุนระบุวัตถุประสงค์ / เฉพาะกิจ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</si>
  <si>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</si>
  <si>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</si>
  <si>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</si>
  <si>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งบดำเนินการ</t>
  </si>
  <si>
    <t>ค่าสาธารณูปโภค</t>
  </si>
  <si>
    <t>ค่าครุภัณฑ์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</si>
  <si>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</si>
  <si>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</si>
  <si>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</si>
  <si>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รายงานรายจ่ายในการดำเนินงานที่จ่ายจากเงินรายรับตามแผนงาน  ...บริหารงานทั่วไป...</t>
  </si>
  <si>
    <t>งานบริหารงานทั่วไป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</si>
  <si>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</si>
  <si>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</si>
  <si>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  ...การรักษาความสงบภายใน...</t>
  </si>
  <si>
    <t>งานบริหารงานทั่วไปเกี่ยวกับการรักษาความสงบภายใน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</si>
  <si>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</si>
  <si>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</si>
  <si>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...การศึกษา...</t>
  </si>
  <si>
    <t>งานบริหารงานทั่วไปเกี่ยวกับการศึกษา</t>
  </si>
  <si>
    <t>งานระดับก่อน
วัยเรียนและ
ประถมศึกษา</t>
  </si>
  <si>
    <t>งานระดับ
มัธยมศึกษา</t>
  </si>
  <si>
    <t>งานศึกษาไม่
กำหนดระดับ</t>
  </si>
  <si>
    <t>รายงานรายจ่ายในการดำเนินงานที่จ่ายจากเงินรายรับตามแผนงาน  ...สาธารณสุข...</t>
  </si>
  <si>
    <t>งานบริหารทั่วไป
เกี่ยวกับสาธารณสุข</t>
  </si>
  <si>
    <t>งานโรงพยาบาล</t>
  </si>
  <si>
    <t>งานบริการ
สาธารณสุขและ
งานสาธารณสุขอื่น</t>
  </si>
  <si>
    <t>งานศูนย์บริการ
สาธารณสุข</t>
  </si>
  <si>
    <t>รายงานรายจ่ายในการดำเนินงานที่จ่ายจากเงินรายรับตามแผนงาน  ...สังคมสงเคราะห์...</t>
  </si>
  <si>
    <t>งานบริหารทั่วไป
เกี่ยวกับสังคมสงเคราะห์</t>
  </si>
  <si>
    <t>งานสวัสดิการสังคม
และสังคมสงเคราะห์</t>
  </si>
  <si>
    <t>รายงานรายจ่ายในการดำเนินงานที่จ่ายจากเงินรายรับตามแผนงาน  ...เคหะและชุมชน...</t>
  </si>
  <si>
    <t>งานบริหาร
ทั่วไปเกี่ยวกับ
เคหะชุมชม</t>
  </si>
  <si>
    <t>งานไฟฟ้าถนน</t>
  </si>
  <si>
    <t>งาน
สวนสาธารณะ</t>
  </si>
  <si>
    <t>งานกำจัดขยะ
มูลฝอยและสิ่ง
ปฏิกูล</t>
  </si>
  <si>
    <t>งานบำบัด
น้ำเสีย</t>
  </si>
  <si>
    <t>รายงานรายจ่ายในการดำเนินงานที่จ่ายจากเงินรายรับตามแผนงาน  ...สร้างความเข้มแข็งของชุมชน...</t>
  </si>
  <si>
    <t>งานบริหารทั่วไป
เกี่ยวกับการสร้างความ
เข้มแข็งของชุมชม</t>
  </si>
  <si>
    <t>งานส่งเสริมและ
สนับสนุนความ
เข้มแข็งชุมชน</t>
  </si>
  <si>
    <t>รายงานรายจ่ายในการดำเนินงานที่จ่ายจากเงินรายรับตามแผนงาน  ...การศาสนาวัฒนธรรมและนันทนาการ...</t>
  </si>
  <si>
    <t>งานบริหารทั่วไป
เกี่ยวกับศาสนา
วัฒนธรรมและ
นันทนาการ</t>
  </si>
  <si>
    <t>งานกีฬาและ
นันทนาการ</t>
  </si>
  <si>
    <t>งานศาสนาและ
วัฒนธรรมท้องถิ่น</t>
  </si>
  <si>
    <t>งานวิชการวางแผน
และส่งเสริม
การท่องเที่ยว</t>
  </si>
  <si>
    <t>รายงานรายจ่ายในการดำเนินงานที่จ่ายจากเงินรายรับตามแผนงาน  ...อุตสาหกรรมและการโยธา...</t>
  </si>
  <si>
    <t>งานบริหารทั่วไป
เกี่ยวกับอุตสาหกรรรม
และการโยธา</t>
  </si>
  <si>
    <t>งานก่อสร้างโครงสร้าง
พื้นฐาน</t>
  </si>
  <si>
    <t>รายงานรายจ่ายในการดำเนินงานที่จ่ายจากเงินรายรับตามแผนงาน  ...การเกษตร...</t>
  </si>
  <si>
    <t>งานส่งเสริมการเกษตร</t>
  </si>
  <si>
    <t>งานอนุรักษ์แหล่งน้ำ
และป่าไม้</t>
  </si>
  <si>
    <t>รายงานรายจ่ายในการดำเนินงานที่จ่ายจากเงินรายรับตามแผนงาน  ...การพาณิชย์...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</si>
  <si>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</si>
  <si>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</si>
  <si>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</si>
  <si>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</si>
  <si>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
งาน
ทั่วไป</t>
  </si>
  <si>
    <t>การรักษา
ความ
สงบภายใน</t>
  </si>
  <si>
    <t>การศึกษา</t>
  </si>
  <si>
    <t>สังคม
สงเคราะห์</t>
  </si>
  <si>
    <t>เคหะและ
ชุมชน</t>
  </si>
  <si>
    <t>สร้าง
ความ
เข้มแข็ง
ของชุมชน</t>
  </si>
  <si>
    <t>การ
ศาสนา
วัฒนธรรม
และ
นันทนาการ</t>
  </si>
  <si>
    <t>อุตสาหกรรม
และการโยธา</t>
  </si>
  <si>
    <t>การเกษตร
การ</t>
  </si>
  <si>
    <t>การ
พาณิชย์</t>
  </si>
  <si>
    <t>สาธารณสุข
สังคม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</si>
  <si>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</si>
  <si>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</si>
  <si>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</si>
  <si>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ค่าครุภัณฑ์   (หมายเหตุ  1)</t>
  </si>
  <si>
    <t>ค่าที่ดินและสิ่งก่อสร้าง  (หมายเหตุ 2 )</t>
  </si>
  <si>
    <t>รวยรายจ่าย</t>
  </si>
  <si>
    <t>รายรับสูงกว่าหรือ(ต่ำกว่า)รายจ่าย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</si>
  <si>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</si>
  <si>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 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</si>
  <si>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</si>
  <si>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หมายเหตุ 2    งบทรัพย์สิน</t>
  </si>
  <si>
    <t>รายงานรายจ่ายในการดำเนินงานที่จ่ายจากเงินรายรับตามแผนงาน  ..งบกลาง..</t>
  </si>
  <si>
    <t xml:space="preserve">สาธารณสุข
</t>
  </si>
  <si>
    <t>เงินงบประมาณ</t>
  </si>
  <si>
    <t>ข้อมูลทั่วไป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</si>
  <si>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</si>
  <si>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</si>
  <si>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โครงการที่ยืม</t>
  </si>
  <si>
    <t>สินทรัพย์ไม่หมุนเวียน</t>
  </si>
  <si>
    <t>ปี 2561</t>
  </si>
  <si>
    <t>เงินฝากประทรวงการคลัง</t>
  </si>
  <si>
    <t>เงินฝากกองทุน</t>
  </si>
  <si>
    <t>ทรัพย์สินเกิดจากเงินกู้</t>
  </si>
  <si>
    <t>สินทรัพย์ไม่หมุนเวียนอื่น</t>
  </si>
  <si>
    <t>หมายเหตุประกอบงบแสดงฐานะการเงินเป็นส่วนหนึ่งของงบการเงินนี้</t>
  </si>
  <si>
    <t xml:space="preserve"> - ข้อมูลทั่วไปขององค์กรปกครองส่วนท้องถิ่น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</si>
  <si>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</si>
  <si>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การเงินขององค์กรปกครองส่วนท้องถิ่น  เมื่อวันที่  20  มีนาคม  2558  และที่แก้ไขเพิ่มเติม (ฉบับที่ 2) ลงวันที่</t>
  </si>
  <si>
    <t>21 มีนาคม 2561 และหนังสือสั่งการที่เกี่ยวข้อง</t>
  </si>
  <si>
    <t>1.2 รายการเปิดเผยอื่นใด (ถ้ามี)</t>
  </si>
  <si>
    <t>เงินที่มีผู้อุทิศให้</t>
  </si>
  <si>
    <t>ฯลฯ</t>
  </si>
  <si>
    <t xml:space="preserve">    ที่ดิน</t>
  </si>
  <si>
    <t xml:space="preserve">    อาคาร</t>
  </si>
  <si>
    <t xml:space="preserve">     ครุภัณฑ์สำนักงาน</t>
  </si>
  <si>
    <t xml:space="preserve">คำอธิบาย  </t>
  </si>
  <si>
    <t xml:space="preserve">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</t>
  </si>
  <si>
    <t>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รวมทั้งทรัพย์สินที่ให้ยืมหรือเช่า ยกเว้น</t>
  </si>
  <si>
    <t>ทรัพย์สินที่จัดไว้เพื่อเป็นการให้บริการสาธารณะ เช่น ถนน สะพาน ลานกีฬา เป็นต้น</t>
  </si>
  <si>
    <t xml:space="preserve">    2. ทรัพย์สินที่ได้มาจากแหล่งเงินกู้ ให้แสดงทรัพย์สินทุกประเภท</t>
  </si>
  <si>
    <t>หมายเหตุ 4  เงินฝากกระทรวงการคลัง</t>
  </si>
  <si>
    <t>................................................</t>
  </si>
  <si>
    <t>...............................................</t>
  </si>
  <si>
    <t>หมายเหตุ 5  เงินฝากกองทุน</t>
  </si>
  <si>
    <t>หมายเหตุ 6  ลูกหนี้เงินยืม</t>
  </si>
  <si>
    <t>ชื่อ - สกุล ผู้ยืม</t>
  </si>
  <si>
    <t>นาย................</t>
  </si>
  <si>
    <t>เดินทางไปราชการ</t>
  </si>
  <si>
    <t>นาง...................</t>
  </si>
  <si>
    <t>เงินอุดหนุนระบุวัตถุประสงค์/
เฉพาะกิจ</t>
  </si>
  <si>
    <t>สวัสดิการข้าราชการถ่ายโอน</t>
  </si>
  <si>
    <t>โครงการ............</t>
  </si>
  <si>
    <t>ปี 2560</t>
  </si>
  <si>
    <t>หมายเหตุ 7  รายได้จากรัฐบาลค้างรับ</t>
  </si>
  <si>
    <t>โครงการ........</t>
  </si>
  <si>
    <t>หมายเหตุ 8  ลูกหนี้ค่าภาษี</t>
  </si>
  <si>
    <t xml:space="preserve">หมายเหตุ 9 ลูกหนี้รายได้อื่น ๆ </t>
  </si>
  <si>
    <t>ลูกหนี้ค่าน้ำประปา</t>
  </si>
  <si>
    <t>ลูกหนี้ค่าเช่า</t>
  </si>
  <si>
    <t>หมายเหตุ 10 ลูกหนี้เงินทุนโครงการเศรษฐกิจชุมชน</t>
  </si>
  <si>
    <t xml:space="preserve">หมายเหตุ 11 ลูกหนี้อี่น ๆ </t>
  </si>
  <si>
    <t>ลูกหนี้ค่า.........</t>
  </si>
  <si>
    <t>เงินจ่ายล่วงหน้า</t>
  </si>
  <si>
    <t>หมายเหตุ 14 สินทรัพย์ไม่หมุนเวียนอื่น</t>
  </si>
  <si>
    <t>เงินขาดบัญชี</t>
  </si>
  <si>
    <t>เงินประกัน</t>
  </si>
  <si>
    <t>หมายเหตุ 15  รายจ่ายค้างจ่าย</t>
  </si>
  <si>
    <t>หมายเหตุ 16  ฎีกาค้างจ่าย</t>
  </si>
  <si>
    <t>หมายเหตุ 17  เงินรับฝาก</t>
  </si>
  <si>
    <t>หมายเหตุ 18 หนี้สินหมุนเวียนอื่น</t>
  </si>
  <si>
    <t>..................................</t>
  </si>
  <si>
    <t>...................................</t>
  </si>
  <si>
    <t>หมายเหตุ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</si>
  <si>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</si>
  <si>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</si>
  <si>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</si>
  <si>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</si>
  <si>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</si>
  <si>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</si>
  <si>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</si>
  <si>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</si>
  <si>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หมายเหตุ 20 หนี้สินไม่หมุนเวียน</t>
  </si>
  <si>
    <t>...........................</t>
  </si>
  <si>
    <t>..........................</t>
  </si>
  <si>
    <t>เงินสะสม  1  ตุลาคม ...............</t>
  </si>
  <si>
    <t xml:space="preserve">       (เงินทุนสำรองเงินสะสม)</t>
  </si>
  <si>
    <t>เงินสะสม  ณ  30  กันยายน  .....</t>
  </si>
  <si>
    <t>เงินสะสม  ณ  30  กันยายน ….  ประกอบด้วย</t>
  </si>
  <si>
    <t>2. เงินฝากกองทุน</t>
  </si>
  <si>
    <t>1. หุ้นในโรงพิมพ์อาสารักษาดินแดน</t>
  </si>
  <si>
    <t>3. ลูกหนี้ค่าภาษี</t>
  </si>
  <si>
    <t xml:space="preserve">5. ทรัพย์สินที่เกิดจากเงินกู้ที่ชำระหนี้แล้ว  </t>
  </si>
  <si>
    <t xml:space="preserve"> (ผลต่างระหว่างทรัพย์สินเกิดจากเงินกู้และเจ้าหนี้เงินกู้)</t>
  </si>
  <si>
    <t>ทั้งนี้ได้รับอนุมัติให้จ่ายเงินสะสมที่อยู่ระหว่างดำเนินการจำนวน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</si>
  <si>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 ตามรายละเอียดแนบท้ายหมายเหตุ 21</t>
  </si>
  <si>
    <t>หมายเหตุ 21  เงินสะสม</t>
  </si>
  <si>
    <t>รายละเอียดแนบท้ายหมายเหตุ 21 เงินสะสม</t>
  </si>
  <si>
    <t>หมายเหตุ 22 เงินทุนสำรองเงินสะสม</t>
  </si>
  <si>
    <t>รวมจ่ายจากเงิน
งบประมาณ</t>
  </si>
  <si>
    <t>รวมจ่ายจากเงิน
อุดหนุนระบุวัตถุ
ประสงค์/เฉพาะกิจ</t>
  </si>
  <si>
    <t>รายได้จากสาธารณูปโภคและการพาณิชย์</t>
  </si>
  <si>
    <t>ภาษีจัดสรร</t>
  </si>
  <si>
    <t>เงินอุดหนุนทั่วไป</t>
  </si>
  <si>
    <t>งินอุดหนุนระบุวัตถุประสงค์/เฉพาะกิจ</t>
  </si>
  <si>
    <t>หมายเหตุ  ในกรณีมีใบผ่านรายการบัญฃีทั่วไปที่ปรับปรุงลดยอดรายจ่าย ให้เพิ่มฃ่อง "ใบผ่านรายการบัญชีทั่วไป" หลังฃ่อง "รวมจ่ายจากเงินงบประมาณ" เพื่อแสดงผลการดำเนินงานที่ถูกต้อง</t>
  </si>
  <si>
    <t>แหล่งงบประมาณ</t>
  </si>
  <si>
    <t>หมายเหตุ  1  ค่าครุภัณฑ์</t>
  </si>
  <si>
    <t>ครุภัณฑ์สำนักงาน</t>
  </si>
  <si>
    <t>ครุภัณฑ์คอมพิวเตอร์</t>
  </si>
  <si>
    <t>หน่วย : บาท</t>
  </si>
  <si>
    <t>หมายเหตุ  2  ค่าที่ดินและสิ่งก่อสร้าง</t>
  </si>
  <si>
    <t>ตั้งแต่วันที่  1  ตุลาคม 2560  ถึง  30 กันยายน 2561</t>
  </si>
  <si>
    <t xml:space="preserve">     ผู้อำนวยการกองคลัง                                                                                                                                    ปลัด อปท.                                                                                                                        นายก อปท.</t>
  </si>
  <si>
    <t>หมายเหตุ 12 ลูกหนี้เงินยืมเงินสะสม</t>
  </si>
  <si>
    <t>หมายเหตุ 13 สินทรัพยหมุนเวียนอื่น</t>
  </si>
  <si>
    <t>เงินเดือน (ฝ่ายการเมือง)</t>
  </si>
  <si>
    <t>เงินเดือน (ฝ่ายประจำ)</t>
  </si>
  <si>
    <t>งบดำเนินงาน</t>
  </si>
  <si>
    <t>ประกอบหมายเหตุประกอบงบแสดงฐานะการเงิน (หมายเหตุ 8)</t>
  </si>
  <si>
    <t>ลำดับที่</t>
  </si>
  <si>
    <t>ชื่อ - สกุล</t>
  </si>
  <si>
    <t xml:space="preserve">หมู่ที่ </t>
  </si>
  <si>
    <t>ปีภาษีทีค้างชำระ/จำนวนเงิน</t>
  </si>
  <si>
    <t xml:space="preserve">รายละเอียดลูกหนี้ภาษีบำรุงท้องที่ประจำปีงบประมาณ 2561  </t>
  </si>
  <si>
    <t xml:space="preserve">รายละเอียดลูกหนี้ภาษีโรงเรือนและที่ดินประจำปีงบประมาณ 2561  </t>
  </si>
  <si>
    <t xml:space="preserve">รายละเอียดลูกหนี้ภาษีป้ายประจำปีงบประมาณ 2561  </t>
  </si>
  <si>
    <t>รายละเอียดรายการทรัพย์สิน ประกอบงบทรัพย์สิน (หมายเหตุ 2)</t>
  </si>
  <si>
    <t>ลำดับ</t>
  </si>
  <si>
    <t>รหัสทรัพย์สิน</t>
  </si>
  <si>
    <t>ชื่อทรัพย์สิน</t>
  </si>
  <si>
    <t>รายละเอียดทรัพย์สิน</t>
  </si>
  <si>
    <t>วิธีการได้มา</t>
  </si>
  <si>
    <t>งานที่รับผิดชอบ</t>
  </si>
  <si>
    <t>ชนิดทรัพย์สิน</t>
  </si>
  <si>
    <t>รวมครุภัณฑ์สำนักงาน</t>
  </si>
  <si>
    <t>รวมครุภัณฑ์งานบ้านงานครัว</t>
  </si>
  <si>
    <t>สังหาริมทรัพย์</t>
  </si>
  <si>
    <t>000-00-0000</t>
  </si>
  <si>
    <t>โต๊ะ</t>
  </si>
  <si>
    <t>โต๊ะทำงาน</t>
  </si>
  <si>
    <t>บริหารทั่วไป</t>
  </si>
  <si>
    <t>ซื้อ</t>
  </si>
  <si>
    <t>ว/ด/ป ที่ได้มา</t>
  </si>
  <si>
    <t xml:space="preserve">                   องค์การบริหารส่วนตำบลหันห้วยทราย ตั้งอยู่ที่  หมู่ 5 ตำบลหันห้วยทราย อำเภอประทาย</t>
  </si>
  <si>
    <t xml:space="preserve">     ครุภัณฑ์การโยธา</t>
  </si>
  <si>
    <t xml:space="preserve">     ครุภัณฑ์การเกษตร</t>
  </si>
  <si>
    <t xml:space="preserve">     ครุภัณฑ์งานบ้านงานครัว</t>
  </si>
  <si>
    <t xml:space="preserve">     ครุภัณฑ์ยานพาหนะและขนส่ง</t>
  </si>
  <si>
    <t xml:space="preserve">     ครุภัณฑ์วิทยาศาสตร์หรือการแพทย์</t>
  </si>
  <si>
    <t xml:space="preserve">     ครุภัณฑ์โฆษณาและเผยแพร่</t>
  </si>
  <si>
    <t xml:space="preserve">     ครุภัณฑ์คอมพิวเตอร์</t>
  </si>
  <si>
    <t xml:space="preserve">     ครุภัณฑ์กีฬา</t>
  </si>
  <si>
    <t xml:space="preserve">     ครุภัณฑ์ไฟฟ้าและวิทยุ</t>
  </si>
  <si>
    <t xml:space="preserve">     ครุภัณฑ์อื่น ๆ</t>
  </si>
  <si>
    <t>เงินอุดหนุนทั่วไปจากรัฐบาล</t>
  </si>
  <si>
    <t>ได้มาจากที่ดินสาธารณประโยชน์</t>
  </si>
  <si>
    <t>เงินสำรองรายรับ</t>
  </si>
  <si>
    <t>เงินอุดหนุนเฉพาะกิจ</t>
  </si>
  <si>
    <t>เงินฝากธนาคาร  ธกส. ออมทรัพย์   เลขที่   368-2-35017-6</t>
  </si>
  <si>
    <t xml:space="preserve">เงินฝากธนาคารกรุงไทย ออมทรัพย์ เลขที่   340-1-06449-5  </t>
  </si>
  <si>
    <t>เงินฝากธนาคารออมสิน- เผื่อเรียก   020050761707</t>
  </si>
  <si>
    <t xml:space="preserve">เงินฝากธนาคารกรุงไทย 12 เดือน เลขที่   340-2-02162-5  </t>
  </si>
  <si>
    <t>เงินฝากธนาคารออมสิน-ประจำ 12 เดือน 343660005988</t>
  </si>
  <si>
    <t>เงินฝากธนาคาร  ธกส. กระแสรายวัน   เลขที่   368-5-00037-8</t>
  </si>
  <si>
    <t xml:space="preserve">เงินฝากธนาคารกรุงไทย กระแสรายวัน เลขที่   340-6-00452-0 </t>
  </si>
  <si>
    <t>เงินฝากธนาคาร  ธกส.- ออมทรัพย์   เลขที่   368-2-56212-5</t>
  </si>
  <si>
    <t xml:space="preserve">จังหวัดนครราชสีมา มีพื้นที่ 49 ตารางกิโลเมตร หรือประมาณ  30,558 ไร่ ห่างจากอำเภอประทาย </t>
  </si>
  <si>
    <t xml:space="preserve">ประมาณ  13 กิโลเมตร อยู่ห่างจากจังหวัดนครราชสีมา ประมาณ 105 กิโลเมตร มีจำนวนหมู่บ้าน 9 หมู่บ้าน </t>
  </si>
  <si>
    <t xml:space="preserve"> ครัวเรือน  1,472  ครัวเรือน จำนวนประชากร  5,570 คน ราษฎรส่วนใหญ่ประกอบอาชีพด้านเกษตรกรรม</t>
  </si>
  <si>
    <t>เช่น การทำไร่ ทำนา</t>
  </si>
  <si>
    <t>โรงเรียนมัธยม (ขยายโอกาส)       1  แห่ง</t>
  </si>
  <si>
    <t>โรงเรียนประถมศึกษา                  5  แห่ง</t>
  </si>
  <si>
    <t>ศูนย์พัฒนาเด็กเล็ก                       3  ศูนย์</t>
  </si>
  <si>
    <t xml:space="preserve">การศาสนา  </t>
  </si>
  <si>
    <t>ประชาชนส่วนใหญ่นับถือศาสนาพุทธ มีศาสนสถานซึ่งเป็นวัดจำนวน 9 แห่ง สำนักสงฆ์ 2แห่ง</t>
  </si>
  <si>
    <t>การสาธารณสุข</t>
  </si>
  <si>
    <t>มีโรงพยาบาลส่งเสริมสุขภาพ ประจำตำบล จำนวน  1  แห่ง</t>
  </si>
  <si>
    <t>องค์การบริหารส่วนตำบลหันห้วยทราย</t>
  </si>
  <si>
    <t>ภาษีมูลค่าเพิ่มตาม พ.ร.บ. กำหนดแผนฯ</t>
  </si>
  <si>
    <t xml:space="preserve">โครงการก่อสร้างประปาหมู่บ้านแบบผิวดินขนาดใหญ่ </t>
  </si>
  <si>
    <t>บ้านดอนกลอย หมู่ 6</t>
  </si>
  <si>
    <t>-</t>
  </si>
  <si>
    <t>นางดารา  บัดยางนอก</t>
  </si>
  <si>
    <t>กลุ่มออมทรัพย์เพื่อการผลิต หมู่ 7</t>
  </si>
  <si>
    <t>บริหารงานทั่วไป</t>
  </si>
  <si>
    <t xml:space="preserve"> ค่าตอบแทนอื่นสำหรับพนักงาน</t>
  </si>
  <si>
    <t>เงินประโยชน์ตอบแทนอื่นเป็นกรณีพิเศษสำหรับ</t>
  </si>
  <si>
    <t xml:space="preserve"> ส่วนท้องถิ่น กรณีพิเศษ (โบนัส)</t>
  </si>
  <si>
    <t>พนักงานส่วนตำบลและพนักงานจ้าง</t>
  </si>
  <si>
    <t>รายจ่ายเพื่อให้ได้มาซึ่งบริการ</t>
  </si>
  <si>
    <t>ค่าจ้างเหมาบริการเวรยามรักษาทรัพย์สินของอบต.</t>
  </si>
  <si>
    <t>รายจ่ายตามข้อผูกพัน</t>
  </si>
  <si>
    <t>เงินสมทบกองทุนประกันสังคม</t>
  </si>
  <si>
    <t>ค่าจ้างที่ปรึกษาซึ่งไม่เกี่ยวกับครุภัณฑ์หรือสิ่งก่อสร้าง  หรือไม่ได้มาซึ่ง</t>
  </si>
  <si>
    <t>ครุภัณฑ์  หรือสิ่งก่อสร้าง</t>
  </si>
  <si>
    <t>รวมงานบริหารงานทั่วไป</t>
  </si>
  <si>
    <t>บริหารงานคลัง</t>
  </si>
  <si>
    <t>รวมงานบริหารงานคลัง</t>
  </si>
  <si>
    <t>เคหะและชุมชน</t>
  </si>
  <si>
    <t>บริหารทั่วไปเกี่ยวกับเคหะและ</t>
  </si>
  <si>
    <t>ชุมชน</t>
  </si>
  <si>
    <t>รวมงานบริหารทั่วไปเกี่ยวกับเคหะและชุมชน</t>
  </si>
  <si>
    <t>ไฟฟ้าและถนน</t>
  </si>
  <si>
    <t>อาคารต่างๆ</t>
  </si>
  <si>
    <t>ก่อสร้างรั้วรอบเขตพื้นที่และประตูทางเข้า-ออก สนง.อบต.หันห้วยทราย</t>
  </si>
  <si>
    <t>ก่อสร้างถนนหินคลุก บ้านดอนกลอย หมู่ 6</t>
  </si>
  <si>
    <t>ค่าติดตั้งระบบประปาและ</t>
  </si>
  <si>
    <t>โครงการก่อสร้างประปาหมู่บ้านแบบผิวดินขนาดใหญ่ บ้าน</t>
  </si>
  <si>
    <t>อุปกรณ์ฯ</t>
  </si>
  <si>
    <t>ดอนกลอย หมุ่ 6</t>
  </si>
  <si>
    <t>กำจัดขยะมูลฝอยฯ</t>
  </si>
  <si>
    <t>ค่าจ้างเหมาบริการในการเก็บขนขยะภายในหมู่บ้าน ม.1-9</t>
  </si>
  <si>
    <t>รวมงานกำจัดขยะมูลฝอยฯ</t>
  </si>
  <si>
    <t>บริหารทั่วไปเกี่ยวกับการศึกษา</t>
  </si>
  <si>
    <t>ระดับก่อนวัยเรียนฯ</t>
  </si>
  <si>
    <t>รวมงานระดับก่อนวัยเรียนและประถมศึกษา</t>
  </si>
  <si>
    <t xml:space="preserve"> -2-</t>
  </si>
  <si>
    <t>แผนงานการศึกษา</t>
  </si>
  <si>
    <t>ค่าตอบแทนพนักงานจ้าง</t>
  </si>
  <si>
    <t>เงินเพิ่มต่างๆของพนักงานจ้าง</t>
  </si>
  <si>
    <t>ค่าก่อสร้างสิ่งสาธารณูปโภค</t>
  </si>
  <si>
    <t>โครงการก่อสร้างรั้วศูนย์พัฒนาเด็กเล็กอบต.หันห้วยทราย</t>
  </si>
  <si>
    <t>บริหารทั่วไปเกี่ยวกับ</t>
  </si>
  <si>
    <t>บริหารทั่วไปเกี่ยวกับการ</t>
  </si>
  <si>
    <t>ศึกษาระดับก่อนวัยเรียนฯ</t>
  </si>
  <si>
    <t>โครงการก่อสร้างประปาหมู่บ้านแบบผิวดินขนาดใหญ่ บ้านดอนกลอย หมุ่ 6</t>
  </si>
  <si>
    <t>ค่าติดตั้งระบบประปาและอุปกรณ์ฯ</t>
  </si>
  <si>
    <t>งานทาง</t>
  </si>
  <si>
    <t>โครงการก่อสร้างถนนคอนกรีตเสริมเหล็ก บ้านหันห้วยทราย หมู่ 1</t>
  </si>
  <si>
    <t xml:space="preserve">โครงการก่อสร้างถนนคอนกรีตเสริมเหล็ก บ้านหลุ่งจาน หมู่ 7 </t>
  </si>
  <si>
    <t>อาคารต่าง ๆ</t>
  </si>
  <si>
    <t>โครงการก่อสร้างรางระบายน้ำคอนกรีตเสริมเหล็ก บ้านหนองช่องแมว หมู่ 2</t>
  </si>
  <si>
    <t>โครงการซ่อมแซมถนนดินลงหินคลุก บ้านเพ็ดน้อย หมู่ 3</t>
  </si>
  <si>
    <t>โครงการซ่อมแซมถนนดินลงหินคลุก บ้านหลุ่งจาน หมู่ 7</t>
  </si>
  <si>
    <t>โครงการก่อสร้างถนน ค.ส.ล. บ้านหนองม่วงใหญ่ หมู่ 5 ไปบ้านโกรกหิน หมู่ 8</t>
  </si>
  <si>
    <t>โครงการก่อสร้างถนนคอนกรีตเสริมเหล็ก บ้านหนองช่องแมว หมู่ 2</t>
  </si>
  <si>
    <t>โครงการก่อสร้างถนนคอนกรีตเสรมเหล็กภายใน อบต.หันห้วยทราย</t>
  </si>
  <si>
    <t>โครงการก่อสร้างห้องน้ำศูนย์พัฒนาเด็กเล็ก บ้านหนองช่องแมว หมู่ 2</t>
  </si>
  <si>
    <t>โครงการปรับปรุงศูนย์พัฒนาเด็กเล็ก อบต. หันห้วยทราย</t>
  </si>
  <si>
    <t>โครงการก่อสร้างถนน ค.ส.ล. ทางเข้าศูนย์ฯ อบต. หันห้วยทราย</t>
  </si>
  <si>
    <t>วัสดุอาหารเสริม(นม)</t>
  </si>
  <si>
    <t>เงินรับฝากภาษีหัก  ณ  ที่จ่าย</t>
  </si>
  <si>
    <t>เงินรับฝากประกันสัญญา</t>
  </si>
  <si>
    <t>เงินรับฝากส่วนลดในการจัดเก็บภาษีบำรุงท้องที่  6 %</t>
  </si>
  <si>
    <t>เงินรับฝากเงินรอคืนจังหวัด (เงินอุดหนุนเฉพาะกิจ/ยาเสพติดฯ)</t>
  </si>
  <si>
    <t>เงินรับฝากเงินรอคืนจังหวัด - เงินสนันสนุนศูนย์พัฒนาเด็กเล็ก</t>
  </si>
  <si>
    <t>เงินรับฝากเงินค่ารักษาพยาบาล</t>
  </si>
  <si>
    <t>เงินอุดหนุนทั่วไป - เงินสนันสนุนศูนย์พัฒนาเด็กเล็ก</t>
  </si>
  <si>
    <t>เงินรับฝากเงินทุนโครงการเศรษฐกิจชุมชน</t>
  </si>
  <si>
    <t>ก่อสร้างสิ่งสาธารณูปโภค</t>
  </si>
  <si>
    <t>โครงการก่อสร้างถนนคอนกรีตเสริมเหล็ก  บ้านหันห้วยทราย หมู่ที่ 1</t>
  </si>
  <si>
    <t>โครงการก่อสร้างถนนคอนกรีตเสริมเหล็ก  บ้านหนองช่องแมว หมู่ที่ 2</t>
  </si>
  <si>
    <t>โครงการซ่อมแซมถนนดิน  บ้านเพ็ดน้อย หมู่ที่ 3</t>
  </si>
  <si>
    <t>โครงการซ่อมแซมถนนดิน บ้านโนนหญ้านาง หมู่ที่ 4</t>
  </si>
  <si>
    <t>โครงการซ่อมแซมถนนดิน บ้านหนองม่วงใหญ่  หมู่ที่ 5</t>
  </si>
  <si>
    <t>โครงการซ่อมแซมถนนดิน บ้านดอนกลอย หมู่ที่ 6</t>
  </si>
  <si>
    <t>โครงการซ่อมแซมถนนดิน บ้านหลุ่งจาน  หมู่ที่ 7</t>
  </si>
  <si>
    <t>โครงการก่อสร้างถนนคอนกรีตเสริมเหล็ก บ้านโกรกหิน  หมู่ที่ 8</t>
  </si>
  <si>
    <t>โครงการก่อสร้างถนนคอนกรีตเสริมเหล็ก บ้านชลประทาน  หมู่ที่ 9</t>
  </si>
  <si>
    <t xml:space="preserve">โครงการก่อสร้างถนนคอนกรีตเสริมเหล็ก  บ้านหันห้วยทราย </t>
  </si>
  <si>
    <t>หมู่ที่ 1 ไปบ้านโนนหญ้านาง  หมู่ที่ 5</t>
  </si>
  <si>
    <t xml:space="preserve">โครงการก่อสร้างถนนคอนกรีตเสริมเหล็ก  บ้านหลุ่งจาน  หมู่ที่ 7 </t>
  </si>
  <si>
    <t>ไปบ้านหนองม่วงใหญ่  หมู่ที่ 5และไปบ้านโกรกหิน  หมู่ที่ 8</t>
  </si>
  <si>
    <t xml:space="preserve">โครงการก่อสร้างถนนคอนกรีตเสริมเหล็ก  บ้านชลประทาน </t>
  </si>
  <si>
    <t>หมู่ที่ 9 ไปบ้านโกรกหิน  หมู่ที่ 9</t>
  </si>
  <si>
    <t xml:space="preserve">โครงการก่อสร้างถนนคอนกรีตเสริมเหล็ก  บ้านโกรกหิน  </t>
  </si>
  <si>
    <t xml:space="preserve"> หมู่ที่ 8 ไปบ้านหนองห่าง ต.โนนเพ็ด (นม.๑๐๑๓)</t>
  </si>
  <si>
    <t>โครงการก่อสร้างถนนคอนกรีตเสริมเหล็ก บ้านเพ็ดน้อย หมู่ที่ 3</t>
  </si>
  <si>
    <t>รวมเงินทั้งสิ้น</t>
  </si>
  <si>
    <t>ยังไม่ได้ก่อหนี้ผูกพันได้รับอนุมัติ</t>
  </si>
  <si>
    <t>โครงการก่อสร้างถนนคอนกรีตเสริมเหล็ก  หมู่ 5 ไป หมู่ 9</t>
  </si>
  <si>
    <t>หมู่ที่ 5 ไปบ้านโกรกหิน  หมู่ที่ 9</t>
  </si>
  <si>
    <t>เงินรับฝาก-เงินรอคืนจังหวัด (เงินสนับสนุนศูนย์พัฒนาเด็กเล็ก)</t>
  </si>
  <si>
    <t>เงินรับฝาก-เงินอุดหนุนทั่วไป (เงินสนับสนุนศูนย์พัฒนาเด็กเล็ก)</t>
  </si>
  <si>
    <r>
      <t>หัก</t>
    </r>
    <r>
      <rPr>
        <b/>
        <sz val="14"/>
        <rFont val="Angsana New"/>
        <family val="1"/>
      </rPr>
      <t xml:space="preserve">    </t>
    </r>
    <r>
      <rPr>
        <sz val="14"/>
        <rFont val="Angsana New"/>
        <family val="1"/>
      </rPr>
      <t xml:space="preserve">25% ของรายรับจริงสูงกว่ารายจ่ายจริง </t>
    </r>
  </si>
  <si>
    <t>(นางบุญมี  จันคำวงษ์)</t>
  </si>
  <si>
    <t>นายกองค์การบริหารส่วนตำบลหันห้วยทราย</t>
  </si>
  <si>
    <t xml:space="preserve">         (นางสาวสิริมา  จันคำวงษ์)                                (นางยุวดี  มาตย์นอก)</t>
  </si>
  <si>
    <t xml:space="preserve">               ผู้อำนวยการกองคลัง             ปลัดองค์การบริหารส่วนตำบลหันห้วยทราย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</si>
  <si>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จำนวน....-..............บาท</t>
  </si>
  <si>
    <t>รับคืนเงินค่าสาธารณูปโภค</t>
  </si>
  <si>
    <t>รับคืนเงินค่าใช้สอย</t>
  </si>
  <si>
    <t>รับคืนเงินค่าตอบแทน</t>
  </si>
  <si>
    <t>ตามประกาศกระทรวงมหาดไทย เรื่อง หลักเกณฑ์และวิธีปฏิบัติการบันทึกบัญชีการจัดทำทะเบียนและรายงาน</t>
  </si>
  <si>
    <t>ณ วันที่   30   กันยายน 2561</t>
  </si>
  <si>
    <t>ณ วันที่   30  กันยายน 2561</t>
  </si>
  <si>
    <t>ณ วันที่  30  กันยายน   2561</t>
  </si>
  <si>
    <t>สำหรับปี  สิ้นสุดวันที่  30  กันยายน  2561</t>
  </si>
  <si>
    <t>สำหรับปี สิ้นสุดวันที่  30   กันยายน  2561</t>
  </si>
  <si>
    <t>สำหรับปี สิ้นสุดวันที่  30  กันยายน 2561</t>
  </si>
  <si>
    <t>สำหรับปี สิ้นสุดวันที่   30  กันยายน 2561</t>
  </si>
  <si>
    <t>สำหรับปี สิ้นสุดวันที่   30   กันยายน   2561</t>
  </si>
  <si>
    <t>สำหรับปี สิ้นสุดวันที่   30   กันยายน 2561</t>
  </si>
  <si>
    <t>สำหรับปี สิ้นสุดวันที่  30   กันยายน   2561</t>
  </si>
  <si>
    <t xml:space="preserve">เงินอุดหนุนระบุวัตถุประสงค์ 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</si>
  <si>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จำนวน......-........บาท</t>
  </si>
  <si>
    <t>(นางสาวสิริมา  จันคำวงษ์ )                                                                                                                     (นางยุวดี   มาตย์นอก)                                                                                                      (นางบุญมี  จันคำวงษ์)</t>
  </si>
  <si>
    <t>โครงการปรัลปรุงภูมิทัศน์ภายใน อบต.หันห้วยทราย</t>
  </si>
  <si>
    <t>โครงการก่อสร้างห้องน้ำ ศพด. บ้านหนองช่องแมว</t>
  </si>
  <si>
    <t>โครงการก่อสร้างถนน คสล. ทางเข้า ศพด.อบต.หันห้วยทราย</t>
  </si>
  <si>
    <t>โครงการปรับปรุง ศพด. หันห้วยทราย</t>
  </si>
  <si>
    <t>โครงการก่อสร้างถนน คสล. ภายใน.อบต.หันห้วยทราย</t>
  </si>
  <si>
    <t>โครงการก่อสร้างถนน คสล. บ้านหนองช่องแมว หมู่ 2</t>
  </si>
  <si>
    <t>โครงการก่อสร้างถนน คสล. บ้านหลุ่งจาน หมู่ 7</t>
  </si>
  <si>
    <t>โครงการก่อสร้างถนน คสล. บ้านหันห้วยทราย หมู่ 1</t>
  </si>
  <si>
    <t>โครงการก่อสร้างถนน คสล. บ้านโนนหญ้านาง หมู่ 4</t>
  </si>
  <si>
    <t>โครงการก่อสร้างถนน คสล. บ้านดอนกลอย หมู่ 6</t>
  </si>
  <si>
    <t>โครงการก่อสร้างถนน คสล. บ้านหนองม่วงใหญ่ หมู่ 5 ไปบ้านโกรกหิน หมู่ 8</t>
  </si>
  <si>
    <t>โครงการก่อสร้างรางระบายน้ำ บ้านหนองช่องแมว หมู่ 2</t>
  </si>
  <si>
    <t>ค่าบำรุงรักษาปรับปรุงทที่ดินและสิ่งก่อสร้าง(ภายใน อบต.)</t>
  </si>
  <si>
    <t>ค่าบำรุงรักษาปรับปรุงทที่ดินและสิ่งก่อสร้าง(ในเขตตำบล)</t>
  </si>
  <si>
    <t>โครงการซ่อมแซมถนนดิน บ้านโกรกหิน หมู่ 8</t>
  </si>
  <si>
    <t>โครงการซ่อมแซมถนนดินลงหินคลุก บ้านหนองม่วงใหญ่ หมู่ 5</t>
  </si>
  <si>
    <t>รายละเอียดประกอบงบแสดงผลการดำเนินงานจ่ายจากเงินรายรับ</t>
  </si>
  <si>
    <t>โครงการซ่อมแซมถนนดินลงหินคลุก บ้านชลประทาน หมู่ 9</t>
  </si>
  <si>
    <t>โครงการขุดบ่อขยะมูลฝอยประจำตำบลหันห้วยทราย</t>
  </si>
  <si>
    <t>ครุภัณฑ์งานบ้านงานครัว</t>
  </si>
  <si>
    <t>เครื่องตัดหญ้าแบบข้อแข็ง</t>
  </si>
  <si>
    <t>แท่นอ่านหนังสือ</t>
  </si>
  <si>
    <t>คอมพิวเตอร์แบบพกพา(ส่วนคลัง)</t>
  </si>
  <si>
    <t>คอมพิวเตอร์แบบพกพา(ส่วนศึกษา)</t>
  </si>
  <si>
    <t>โต๊ะและเก้าอี้ (ส่วนศึกษา)</t>
  </si>
  <si>
    <t>ตู้เหล็ก 2 บาน</t>
  </si>
  <si>
    <t>พัดลมติดผนัง</t>
  </si>
  <si>
    <t>ครุภัณฑ์การเกษตร</t>
  </si>
  <si>
    <t>เครื่องพ่นหมอกควัน</t>
  </si>
  <si>
    <t xml:space="preserve">    เสาธง สำนักงาน อบต.</t>
  </si>
  <si>
    <t xml:space="preserve">    รั้วศูนย์พัฒนาเด็กเล็ก อบต. หันห้วยทราย</t>
  </si>
  <si>
    <t xml:space="preserve">    รั้วรอบเขตพื้นที่และประตูทางเข้า-ออก สนง.อบต.</t>
  </si>
  <si>
    <t>ค่าก่อสร้างสิ่งสาธารณูปการ</t>
  </si>
  <si>
    <t>(นางสาวสิริมา  จันคำวงษ์ )                                                                                                                          (นางยุวดี   มาตย์นอก)                                                                                                      (นางบุญมี  จันคำวงษ์)</t>
  </si>
  <si>
    <t xml:space="preserve">                     ผู้อำนวยการกองคลัง                                                                                                           ปลัดองค์การบริหารส่วนตำบลหันห้วยทราย                                                             นายกองค์การบริหารส่วนตำบลหันห้วยทราย</t>
  </si>
  <si>
    <t xml:space="preserve">                           ผู้อำนวยการกองคลัง                                                                                                       ปลัดองค์การบริหารส่วนตำบลหันห้วยทราย                                                             นายกองค์การบริหารส่วนตำบลหันห้วยทราย</t>
  </si>
  <si>
    <t xml:space="preserve">              ผู้อำนวยการกองคลัง                                                                                                            ปลัดองค์การบริหารส่วนตำบลหันห้วยทราย                                                         นายกองค์การบริหารส่วนตำบลหันห้วยทราย</t>
  </si>
  <si>
    <t xml:space="preserve">                           ผู้อำนวยการกองคลัง                                                                                                            ปลัดองค์การบริหารส่วนตำบลหันห้วยทราย                                                      นายกองค์การบริหารส่วนตำบลหันห้วยทราย</t>
  </si>
  <si>
    <t xml:space="preserve">        (นางสาวสิริมา  จันคำวงษ์ )                                                                                                                          (นางยุวดี   มาตย์นอก)                                                                                                   (นางบุญมี  จันคำวงษ์)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</si>
</sst>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1041E]#,##0.00;\(#,##0.00\);&quot;-&quot;"/>
    <numFmt numFmtId="202" formatCode="[$-1041E]#,##0.00;\-#,##0.00"/>
    <numFmt numFmtId="203" formatCode=".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0.0"/>
    <numFmt numFmtId="209" formatCode="0.000"/>
    <numFmt numFmtId="210" formatCode="0.0000"/>
    <numFmt numFmtId="211" formatCode="0.00000"/>
  </numFmts>
  <fonts count="10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4"/>
      <name val="TH SarabunPSK"/>
      <family val="2"/>
    </font>
    <font>
      <sz val="13.9"/>
      <color indexed="8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IT๙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4.5"/>
      <name val="TH SarabunPSK"/>
      <family val="2"/>
    </font>
    <font>
      <b/>
      <sz val="14.5"/>
      <name val="TH SarabunPSK"/>
      <family val="2"/>
    </font>
    <font>
      <sz val="14"/>
      <name val="Cordia New"/>
      <family val="2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color indexed="8"/>
      <name val="AngsanaUPC"/>
      <family val="1"/>
    </font>
    <font>
      <sz val="16"/>
      <color indexed="8"/>
      <name val="AngsanaUPC"/>
      <family val="1"/>
    </font>
    <font>
      <sz val="15"/>
      <color indexed="8"/>
      <name val="AngsanaUPC"/>
      <family val="1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b/>
      <sz val="18"/>
      <color indexed="10"/>
      <name val="Angsana New"/>
      <family val="1"/>
    </font>
    <font>
      <b/>
      <sz val="18"/>
      <color indexed="8"/>
      <name val="Angsana New"/>
      <family val="1"/>
    </font>
    <font>
      <b/>
      <sz val="16"/>
      <color indexed="10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u val="single"/>
      <sz val="15"/>
      <color indexed="8"/>
      <name val="Angsana New"/>
      <family val="1"/>
    </font>
    <font>
      <sz val="12"/>
      <color indexed="8"/>
      <name val="Angsana New"/>
      <family val="1"/>
    </font>
    <font>
      <sz val="15"/>
      <color indexed="10"/>
      <name val="Angsana New"/>
      <family val="1"/>
    </font>
    <font>
      <b/>
      <sz val="13.9"/>
      <color indexed="8"/>
      <name val="TH SarabunPSK"/>
      <family val="2"/>
    </font>
    <font>
      <sz val="11"/>
      <color indexed="8"/>
      <name val="Angsana New"/>
      <family val="1"/>
    </font>
    <font>
      <b/>
      <u val="single"/>
      <sz val="15"/>
      <color indexed="8"/>
      <name val="AngsanaUPC"/>
      <family val="1"/>
    </font>
    <font>
      <b/>
      <sz val="15"/>
      <color indexed="8"/>
      <name val="AngsanaUPC"/>
      <family val="1"/>
    </font>
    <font>
      <sz val="18"/>
      <color indexed="8"/>
      <name val="AngsanaUPC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b/>
      <sz val="18"/>
      <color theme="1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rgb="FF000000"/>
      <name val="Angsana New"/>
      <family val="1"/>
    </font>
    <font>
      <b/>
      <u val="single"/>
      <sz val="16"/>
      <color theme="1"/>
      <name val="Angsana New"/>
      <family val="1"/>
    </font>
    <font>
      <sz val="13"/>
      <color theme="1"/>
      <name val="Angsana New"/>
      <family val="1"/>
    </font>
    <font>
      <sz val="10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u val="single"/>
      <sz val="15"/>
      <color theme="1"/>
      <name val="Angsana New"/>
      <family val="1"/>
    </font>
    <font>
      <sz val="12"/>
      <color theme="1"/>
      <name val="Angsana New"/>
      <family val="1"/>
    </font>
    <font>
      <sz val="15"/>
      <color rgb="FFFF0000"/>
      <name val="Angsana New"/>
      <family val="1"/>
    </font>
    <font>
      <sz val="13.9"/>
      <color theme="1"/>
      <name val="TH SarabunPSK"/>
      <family val="2"/>
    </font>
    <font>
      <b/>
      <sz val="13.9"/>
      <color theme="1"/>
      <name val="TH SarabunPSK"/>
      <family val="2"/>
    </font>
    <font>
      <b/>
      <u val="single"/>
      <sz val="15"/>
      <color theme="1"/>
      <name val="AngsanaUPC"/>
      <family val="1"/>
    </font>
    <font>
      <b/>
      <sz val="15"/>
      <color theme="1"/>
      <name val="AngsanaUPC"/>
      <family val="1"/>
    </font>
    <font>
      <sz val="15"/>
      <color theme="1"/>
      <name val="AngsanaUPC"/>
      <family val="1"/>
    </font>
    <font>
      <sz val="18"/>
      <color theme="1"/>
      <name val="AngsanaUPC"/>
      <family val="1"/>
    </font>
    <font>
      <sz val="11"/>
      <color theme="1"/>
      <name val="Angsana New"/>
      <family val="1"/>
    </font>
    <font>
      <sz val="16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>
      <alignment/>
      <protection/>
    </xf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21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43" fontId="83" fillId="0" borderId="0" xfId="37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43" fontId="3" fillId="0" borderId="0" xfId="37" applyFont="1" applyFill="1" applyBorder="1" applyAlignment="1">
      <alignment horizontal="center" vertical="center"/>
    </xf>
    <xf numFmtId="43" fontId="2" fillId="0" borderId="0" xfId="37" applyFont="1" applyBorder="1" applyAlignment="1">
      <alignment vertical="center"/>
    </xf>
    <xf numFmtId="0" fontId="83" fillId="0" borderId="0" xfId="0" applyFont="1" applyBorder="1" applyAlignment="1">
      <alignment/>
    </xf>
    <xf numFmtId="0" fontId="84" fillId="0" borderId="0" xfId="0" applyFont="1" applyFill="1" applyBorder="1" applyAlignment="1" applyProtection="1">
      <alignment horizontal="center" vertical="center"/>
      <protection/>
    </xf>
    <xf numFmtId="43" fontId="3" fillId="0" borderId="0" xfId="37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3" fontId="2" fillId="0" borderId="0" xfId="37" applyFont="1" applyFill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37" applyFont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43" fontId="82" fillId="0" borderId="0" xfId="37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87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vertical="center"/>
    </xf>
    <xf numFmtId="0" fontId="88" fillId="0" borderId="11" xfId="0" applyFont="1" applyFill="1" applyBorder="1" applyAlignment="1">
      <alignment vertical="center"/>
    </xf>
    <xf numFmtId="43" fontId="5" fillId="0" borderId="12" xfId="37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vertical="center"/>
      <protection/>
    </xf>
    <xf numFmtId="43" fontId="4" fillId="0" borderId="12" xfId="37" applyFont="1" applyFill="1" applyBorder="1" applyAlignment="1" applyProtection="1">
      <alignment vertical="center"/>
      <protection/>
    </xf>
    <xf numFmtId="43" fontId="82" fillId="0" borderId="12" xfId="37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3" fontId="4" fillId="0" borderId="12" xfId="37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43" fontId="88" fillId="0" borderId="12" xfId="37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43" fontId="88" fillId="0" borderId="14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88" fillId="0" borderId="14" xfId="37" applyFont="1" applyFill="1" applyBorder="1" applyAlignment="1">
      <alignment vertical="center"/>
    </xf>
    <xf numFmtId="43" fontId="5" fillId="0" borderId="14" xfId="37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43" fontId="88" fillId="0" borderId="0" xfId="0" applyNumberFormat="1" applyFont="1" applyFill="1" applyBorder="1" applyAlignment="1">
      <alignment vertical="center"/>
    </xf>
    <xf numFmtId="43" fontId="5" fillId="0" borderId="0" xfId="37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3" fontId="8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37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82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43" fontId="82" fillId="0" borderId="0" xfId="37" applyFont="1" applyAlignment="1">
      <alignment/>
    </xf>
    <xf numFmtId="0" fontId="88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43" fontId="82" fillId="0" borderId="15" xfId="37" applyFont="1" applyBorder="1" applyAlignment="1">
      <alignment/>
    </xf>
    <xf numFmtId="43" fontId="82" fillId="0" borderId="0" xfId="37" applyFont="1" applyBorder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82" fillId="0" borderId="0" xfId="0" applyFont="1" applyFill="1" applyBorder="1" applyAlignment="1">
      <alignment vertical="center"/>
    </xf>
    <xf numFmtId="0" fontId="88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vertical="top"/>
    </xf>
    <xf numFmtId="0" fontId="82" fillId="0" borderId="10" xfId="0" applyFont="1" applyBorder="1" applyAlignment="1">
      <alignment wrapText="1"/>
    </xf>
    <xf numFmtId="0" fontId="82" fillId="0" borderId="11" xfId="0" applyFont="1" applyBorder="1" applyAlignment="1">
      <alignment/>
    </xf>
    <xf numFmtId="43" fontId="82" fillId="0" borderId="11" xfId="37" applyFont="1" applyBorder="1" applyAlignment="1">
      <alignment/>
    </xf>
    <xf numFmtId="0" fontId="82" fillId="0" borderId="12" xfId="0" applyFont="1" applyBorder="1" applyAlignment="1">
      <alignment/>
    </xf>
    <xf numFmtId="43" fontId="82" fillId="0" borderId="12" xfId="37" applyFont="1" applyBorder="1" applyAlignment="1">
      <alignment/>
    </xf>
    <xf numFmtId="41" fontId="88" fillId="0" borderId="10" xfId="0" applyNumberFormat="1" applyFont="1" applyBorder="1" applyAlignment="1">
      <alignment/>
    </xf>
    <xf numFmtId="43" fontId="88" fillId="0" borderId="10" xfId="37" applyFont="1" applyBorder="1" applyAlignment="1">
      <alignment/>
    </xf>
    <xf numFmtId="41" fontId="88" fillId="0" borderId="14" xfId="0" applyNumberFormat="1" applyFont="1" applyBorder="1" applyAlignment="1">
      <alignment/>
    </xf>
    <xf numFmtId="43" fontId="88" fillId="0" borderId="14" xfId="37" applyFont="1" applyBorder="1" applyAlignment="1">
      <alignment/>
    </xf>
    <xf numFmtId="49" fontId="88" fillId="0" borderId="10" xfId="0" applyNumberFormat="1" applyFont="1" applyBorder="1" applyAlignment="1">
      <alignment horizontal="center"/>
    </xf>
    <xf numFmtId="49" fontId="82" fillId="0" borderId="10" xfId="0" applyNumberFormat="1" applyFont="1" applyBorder="1" applyAlignment="1">
      <alignment/>
    </xf>
    <xf numFmtId="49" fontId="88" fillId="0" borderId="10" xfId="0" applyNumberFormat="1" applyFont="1" applyBorder="1" applyAlignment="1">
      <alignment horizontal="left"/>
    </xf>
    <xf numFmtId="49" fontId="88" fillId="0" borderId="0" xfId="0" applyNumberFormat="1" applyFont="1" applyBorder="1" applyAlignment="1">
      <alignment horizontal="center"/>
    </xf>
    <xf numFmtId="43" fontId="82" fillId="0" borderId="0" xfId="37" applyFont="1" applyBorder="1" applyAlignment="1">
      <alignment horizontal="center"/>
    </xf>
    <xf numFmtId="0" fontId="87" fillId="0" borderId="0" xfId="0" applyFont="1" applyAlignment="1">
      <alignment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10" xfId="0" applyFont="1" applyBorder="1" applyAlignment="1">
      <alignment horizontal="center"/>
    </xf>
    <xf numFmtId="0" fontId="87" fillId="0" borderId="11" xfId="0" applyFont="1" applyBorder="1" applyAlignment="1">
      <alignment/>
    </xf>
    <xf numFmtId="0" fontId="90" fillId="0" borderId="11" xfId="33" applyNumberFormat="1" applyFont="1" applyFill="1" applyBorder="1" applyAlignment="1">
      <alignment vertical="top" wrapText="1" readingOrder="1"/>
      <protection/>
    </xf>
    <xf numFmtId="43" fontId="87" fillId="0" borderId="11" xfId="37" applyFont="1" applyBorder="1" applyAlignment="1">
      <alignment/>
    </xf>
    <xf numFmtId="0" fontId="87" fillId="0" borderId="12" xfId="0" applyFont="1" applyBorder="1" applyAlignment="1">
      <alignment/>
    </xf>
    <xf numFmtId="0" fontId="90" fillId="0" borderId="12" xfId="33" applyNumberFormat="1" applyFont="1" applyFill="1" applyBorder="1" applyAlignment="1">
      <alignment vertical="top" wrapText="1" readingOrder="1"/>
      <protection/>
    </xf>
    <xf numFmtId="43" fontId="87" fillId="0" borderId="12" xfId="37" applyFont="1" applyBorder="1" applyAlignment="1">
      <alignment/>
    </xf>
    <xf numFmtId="0" fontId="87" fillId="0" borderId="13" xfId="0" applyFont="1" applyBorder="1" applyAlignment="1">
      <alignment/>
    </xf>
    <xf numFmtId="0" fontId="90" fillId="0" borderId="13" xfId="33" applyNumberFormat="1" applyFont="1" applyFill="1" applyBorder="1" applyAlignment="1">
      <alignment vertical="top" wrapText="1" readingOrder="1"/>
      <protection/>
    </xf>
    <xf numFmtId="43" fontId="87" fillId="0" borderId="13" xfId="37" applyFont="1" applyBorder="1" applyAlignment="1">
      <alignment/>
    </xf>
    <xf numFmtId="43" fontId="87" fillId="0" borderId="14" xfId="37" applyFont="1" applyBorder="1" applyAlignment="1">
      <alignment/>
    </xf>
    <xf numFmtId="43" fontId="4" fillId="0" borderId="0" xfId="37" applyFont="1" applyAlignment="1">
      <alignment/>
    </xf>
    <xf numFmtId="0" fontId="8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7" applyFont="1" applyBorder="1" applyAlignment="1">
      <alignment/>
    </xf>
    <xf numFmtId="0" fontId="82" fillId="0" borderId="13" xfId="0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3" xfId="37" applyFont="1" applyBorder="1" applyAlignment="1">
      <alignment/>
    </xf>
    <xf numFmtId="43" fontId="82" fillId="0" borderId="10" xfId="37" applyFont="1" applyBorder="1" applyAlignment="1">
      <alignment/>
    </xf>
    <xf numFmtId="43" fontId="4" fillId="0" borderId="10" xfId="37" applyFont="1" applyBorder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3" fontId="5" fillId="0" borderId="15" xfId="37" applyFont="1" applyBorder="1" applyAlignment="1">
      <alignment horizontal="center" vertical="center"/>
    </xf>
    <xf numFmtId="43" fontId="82" fillId="0" borderId="0" xfId="37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91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/>
    </xf>
    <xf numFmtId="0" fontId="92" fillId="0" borderId="11" xfId="0" applyFont="1" applyBorder="1" applyAlignment="1">
      <alignment/>
    </xf>
    <xf numFmtId="43" fontId="87" fillId="0" borderId="11" xfId="39" applyFont="1" applyBorder="1" applyAlignment="1">
      <alignment/>
    </xf>
    <xf numFmtId="0" fontId="89" fillId="0" borderId="0" xfId="0" applyFont="1" applyAlignment="1">
      <alignment horizontal="center"/>
    </xf>
    <xf numFmtId="0" fontId="93" fillId="0" borderId="12" xfId="0" applyFont="1" applyBorder="1" applyAlignment="1">
      <alignment/>
    </xf>
    <xf numFmtId="0" fontId="7" fillId="0" borderId="12" xfId="0" applyFont="1" applyBorder="1" applyAlignment="1">
      <alignment/>
    </xf>
    <xf numFmtId="43" fontId="94" fillId="0" borderId="12" xfId="37" applyFont="1" applyBorder="1" applyAlignment="1">
      <alignment/>
    </xf>
    <xf numFmtId="0" fontId="93" fillId="0" borderId="13" xfId="0" applyFont="1" applyBorder="1" applyAlignment="1">
      <alignment/>
    </xf>
    <xf numFmtId="0" fontId="7" fillId="0" borderId="13" xfId="0" applyFont="1" applyBorder="1" applyAlignment="1">
      <alignment/>
    </xf>
    <xf numFmtId="43" fontId="94" fillId="0" borderId="13" xfId="37" applyFont="1" applyBorder="1" applyAlignment="1">
      <alignment/>
    </xf>
    <xf numFmtId="43" fontId="94" fillId="0" borderId="14" xfId="0" applyNumberFormat="1" applyFont="1" applyBorder="1" applyAlignment="1">
      <alignment/>
    </xf>
    <xf numFmtId="43" fontId="82" fillId="0" borderId="0" xfId="0" applyNumberFormat="1" applyFont="1" applyAlignment="1">
      <alignment/>
    </xf>
    <xf numFmtId="0" fontId="88" fillId="0" borderId="11" xfId="0" applyFont="1" applyBorder="1" applyAlignment="1">
      <alignment horizontal="center" vertical="center"/>
    </xf>
    <xf numFmtId="43" fontId="82" fillId="0" borderId="13" xfId="37" applyFont="1" applyBorder="1" applyAlignment="1">
      <alignment/>
    </xf>
    <xf numFmtId="43" fontId="82" fillId="0" borderId="14" xfId="37" applyFont="1" applyBorder="1" applyAlignment="1">
      <alignment/>
    </xf>
    <xf numFmtId="0" fontId="88" fillId="0" borderId="17" xfId="0" applyFont="1" applyBorder="1" applyAlignment="1">
      <alignment horizontal="center" vertical="center" wrapText="1"/>
    </xf>
    <xf numFmtId="0" fontId="82" fillId="0" borderId="12" xfId="0" applyFont="1" applyBorder="1" applyAlignment="1">
      <alignment vertical="center"/>
    </xf>
    <xf numFmtId="0" fontId="88" fillId="0" borderId="16" xfId="0" applyFont="1" applyBorder="1" applyAlignment="1">
      <alignment horizontal="center" vertical="center" wrapText="1"/>
    </xf>
    <xf numFmtId="43" fontId="88" fillId="0" borderId="12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left" vertical="center"/>
    </xf>
    <xf numFmtId="43" fontId="82" fillId="0" borderId="12" xfId="0" applyNumberFormat="1" applyFont="1" applyBorder="1" applyAlignment="1">
      <alignment/>
    </xf>
    <xf numFmtId="0" fontId="94" fillId="0" borderId="0" xfId="0" applyFont="1" applyAlignment="1">
      <alignment/>
    </xf>
    <xf numFmtId="0" fontId="95" fillId="0" borderId="16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1" fillId="0" borderId="18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94" fillId="0" borderId="12" xfId="0" applyFont="1" applyBorder="1" applyAlignment="1">
      <alignment/>
    </xf>
    <xf numFmtId="43" fontId="94" fillId="0" borderId="17" xfId="37" applyFont="1" applyBorder="1" applyAlignment="1">
      <alignment horizontal="left" vertical="center" wrapText="1"/>
    </xf>
    <xf numFmtId="43" fontId="94" fillId="0" borderId="17" xfId="37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 indent="1"/>
    </xf>
    <xf numFmtId="43" fontId="94" fillId="0" borderId="20" xfId="37" applyFont="1" applyBorder="1" applyAlignment="1">
      <alignment horizontal="left" vertical="center" wrapText="1"/>
    </xf>
    <xf numFmtId="43" fontId="94" fillId="0" borderId="20" xfId="37" applyFont="1" applyBorder="1" applyAlignment="1">
      <alignment horizontal="left" vertical="center"/>
    </xf>
    <xf numFmtId="0" fontId="82" fillId="0" borderId="19" xfId="0" applyFont="1" applyBorder="1" applyAlignment="1">
      <alignment horizontal="left" indent="1"/>
    </xf>
    <xf numFmtId="0" fontId="82" fillId="0" borderId="21" xfId="0" applyFont="1" applyBorder="1" applyAlignment="1">
      <alignment/>
    </xf>
    <xf numFmtId="43" fontId="94" fillId="0" borderId="12" xfId="37" applyFont="1" applyBorder="1" applyAlignment="1">
      <alignment vertical="center"/>
    </xf>
    <xf numFmtId="0" fontId="95" fillId="0" borderId="0" xfId="0" applyFont="1" applyAlignment="1">
      <alignment/>
    </xf>
    <xf numFmtId="0" fontId="95" fillId="0" borderId="11" xfId="0" applyFont="1" applyBorder="1" applyAlignment="1">
      <alignment horizontal="center" vertical="center"/>
    </xf>
    <xf numFmtId="0" fontId="94" fillId="0" borderId="11" xfId="0" applyFont="1" applyBorder="1" applyAlignment="1">
      <alignment horizontal="left" vertical="center"/>
    </xf>
    <xf numFmtId="43" fontId="94" fillId="0" borderId="17" xfId="37" applyFont="1" applyBorder="1" applyAlignment="1">
      <alignment vertical="center" wrapText="1"/>
    </xf>
    <xf numFmtId="43" fontId="94" fillId="0" borderId="17" xfId="37" applyFont="1" applyBorder="1" applyAlignment="1">
      <alignment vertical="center"/>
    </xf>
    <xf numFmtId="43" fontId="94" fillId="0" borderId="17" xfId="37" applyFont="1" applyBorder="1" applyAlignment="1">
      <alignment horizontal="center" vertical="center" wrapText="1"/>
    </xf>
    <xf numFmtId="43" fontId="94" fillId="0" borderId="11" xfId="37" applyFont="1" applyBorder="1" applyAlignment="1">
      <alignment horizontal="center" vertical="center"/>
    </xf>
    <xf numFmtId="43" fontId="94" fillId="0" borderId="12" xfId="37" applyFont="1" applyBorder="1" applyAlignment="1">
      <alignment/>
    </xf>
    <xf numFmtId="0" fontId="94" fillId="0" borderId="12" xfId="0" applyFont="1" applyBorder="1" applyAlignment="1">
      <alignment vertical="center"/>
    </xf>
    <xf numFmtId="0" fontId="94" fillId="0" borderId="11" xfId="0" applyFont="1" applyBorder="1" applyAlignment="1">
      <alignment/>
    </xf>
    <xf numFmtId="43" fontId="94" fillId="0" borderId="11" xfId="37" applyFont="1" applyBorder="1" applyAlignment="1">
      <alignment/>
    </xf>
    <xf numFmtId="0" fontId="95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center"/>
    </xf>
    <xf numFmtId="43" fontId="95" fillId="0" borderId="17" xfId="37" applyFont="1" applyBorder="1" applyAlignment="1">
      <alignment vertical="center"/>
    </xf>
    <xf numFmtId="43" fontId="95" fillId="0" borderId="11" xfId="37" applyFont="1" applyBorder="1" applyAlignment="1">
      <alignment horizontal="center" vertical="center"/>
    </xf>
    <xf numFmtId="43" fontId="95" fillId="0" borderId="17" xfId="37" applyFont="1" applyBorder="1" applyAlignment="1">
      <alignment horizontal="center" vertical="center"/>
    </xf>
    <xf numFmtId="43" fontId="95" fillId="0" borderId="17" xfId="37" applyFont="1" applyBorder="1" applyAlignment="1">
      <alignment horizontal="center" vertical="center" wrapText="1"/>
    </xf>
    <xf numFmtId="0" fontId="94" fillId="0" borderId="12" xfId="0" applyFont="1" applyBorder="1" applyAlignment="1">
      <alignment horizontal="left" vertical="center"/>
    </xf>
    <xf numFmtId="43" fontId="94" fillId="0" borderId="20" xfId="37" applyFont="1" applyBorder="1" applyAlignment="1">
      <alignment/>
    </xf>
    <xf numFmtId="43" fontId="95" fillId="0" borderId="12" xfId="37" applyFont="1" applyBorder="1" applyAlignment="1">
      <alignment horizontal="center" vertical="center"/>
    </xf>
    <xf numFmtId="43" fontId="97" fillId="0" borderId="12" xfId="37" applyFont="1" applyBorder="1" applyAlignment="1">
      <alignment/>
    </xf>
    <xf numFmtId="0" fontId="94" fillId="0" borderId="13" xfId="0" applyFont="1" applyBorder="1" applyAlignment="1">
      <alignment vertical="center"/>
    </xf>
    <xf numFmtId="43" fontId="94" fillId="0" borderId="13" xfId="37" applyFont="1" applyBorder="1" applyAlignment="1">
      <alignment vertical="center"/>
    </xf>
    <xf numFmtId="43" fontId="95" fillId="0" borderId="13" xfId="37" applyFont="1" applyBorder="1" applyAlignment="1">
      <alignment horizontal="center" vertical="center"/>
    </xf>
    <xf numFmtId="43" fontId="97" fillId="0" borderId="13" xfId="37" applyFont="1" applyBorder="1" applyAlignment="1">
      <alignment/>
    </xf>
    <xf numFmtId="43" fontId="95" fillId="0" borderId="22" xfId="37" applyFont="1" applyBorder="1" applyAlignment="1">
      <alignment vertical="center"/>
    </xf>
    <xf numFmtId="43" fontId="95" fillId="0" borderId="23" xfId="37" applyFont="1" applyBorder="1" applyAlignment="1">
      <alignment horizontal="center" vertical="center" wrapText="1"/>
    </xf>
    <xf numFmtId="0" fontId="96" fillId="0" borderId="11" xfId="0" applyFont="1" applyBorder="1" applyAlignment="1">
      <alignment vertical="center"/>
    </xf>
    <xf numFmtId="43" fontId="95" fillId="0" borderId="12" xfId="37" applyFont="1" applyBorder="1" applyAlignment="1">
      <alignment vertical="center"/>
    </xf>
    <xf numFmtId="43" fontId="95" fillId="0" borderId="12" xfId="37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43" fontId="95" fillId="0" borderId="22" xfId="0" applyNumberFormat="1" applyFont="1" applyBorder="1" applyAlignment="1">
      <alignment/>
    </xf>
    <xf numFmtId="43" fontId="82" fillId="0" borderId="22" xfId="37" applyFont="1" applyBorder="1" applyAlignment="1">
      <alignment/>
    </xf>
    <xf numFmtId="0" fontId="9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98" fillId="0" borderId="0" xfId="0" applyFont="1" applyAlignment="1">
      <alignment/>
    </xf>
    <xf numFmtId="203" fontId="9" fillId="0" borderId="0" xfId="0" applyNumberFormat="1" applyFont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43" fontId="9" fillId="0" borderId="0" xfId="37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43" fontId="8" fillId="0" borderId="0" xfId="37" applyFont="1" applyBorder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Alignment="1">
      <alignment wrapText="1"/>
    </xf>
    <xf numFmtId="49" fontId="9" fillId="0" borderId="0" xfId="0" applyNumberFormat="1" applyFont="1" applyBorder="1" applyAlignment="1">
      <alignment/>
    </xf>
    <xf numFmtId="0" fontId="88" fillId="0" borderId="10" xfId="0" applyFont="1" applyBorder="1" applyAlignment="1">
      <alignment/>
    </xf>
    <xf numFmtId="14" fontId="82" fillId="0" borderId="10" xfId="0" applyNumberFormat="1" applyFont="1" applyBorder="1" applyAlignment="1">
      <alignment horizontal="center"/>
    </xf>
    <xf numFmtId="43" fontId="94" fillId="33" borderId="20" xfId="37" applyFont="1" applyFill="1" applyBorder="1" applyAlignment="1">
      <alignment horizontal="left" vertical="center" wrapText="1"/>
    </xf>
    <xf numFmtId="43" fontId="94" fillId="33" borderId="20" xfId="37" applyFont="1" applyFill="1" applyBorder="1" applyAlignment="1">
      <alignment horizontal="left" vertical="center"/>
    </xf>
    <xf numFmtId="43" fontId="94" fillId="33" borderId="12" xfId="37" applyFont="1" applyFill="1" applyBorder="1" applyAlignment="1">
      <alignment/>
    </xf>
    <xf numFmtId="0" fontId="88" fillId="0" borderId="12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43" fontId="88" fillId="0" borderId="12" xfId="37" applyFont="1" applyBorder="1" applyAlignment="1">
      <alignment horizontal="center" vertical="center" wrapText="1"/>
    </xf>
    <xf numFmtId="43" fontId="88" fillId="0" borderId="12" xfId="37" applyFont="1" applyBorder="1" applyAlignment="1">
      <alignment horizontal="center" vertical="center"/>
    </xf>
    <xf numFmtId="43" fontId="82" fillId="0" borderId="12" xfId="37" applyFont="1" applyBorder="1" applyAlignment="1">
      <alignment horizontal="center" vertical="center"/>
    </xf>
    <xf numFmtId="43" fontId="82" fillId="33" borderId="11" xfId="37" applyFont="1" applyFill="1" applyBorder="1" applyAlignment="1">
      <alignment/>
    </xf>
    <xf numFmtId="0" fontId="82" fillId="33" borderId="11" xfId="0" applyFont="1" applyFill="1" applyBorder="1" applyAlignment="1">
      <alignment/>
    </xf>
    <xf numFmtId="43" fontId="88" fillId="33" borderId="11" xfId="0" applyNumberFormat="1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/>
    </xf>
    <xf numFmtId="43" fontId="82" fillId="33" borderId="12" xfId="0" applyNumberFormat="1" applyFont="1" applyFill="1" applyBorder="1" applyAlignment="1">
      <alignment/>
    </xf>
    <xf numFmtId="0" fontId="88" fillId="33" borderId="12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 wrapText="1"/>
    </xf>
    <xf numFmtId="43" fontId="88" fillId="33" borderId="12" xfId="37" applyFont="1" applyFill="1" applyBorder="1" applyAlignment="1">
      <alignment horizontal="center" vertical="center" wrapText="1"/>
    </xf>
    <xf numFmtId="43" fontId="88" fillId="33" borderId="12" xfId="37" applyFont="1" applyFill="1" applyBorder="1" applyAlignment="1">
      <alignment horizontal="center" vertical="center"/>
    </xf>
    <xf numFmtId="43" fontId="95" fillId="33" borderId="20" xfId="37" applyFont="1" applyFill="1" applyBorder="1" applyAlignment="1">
      <alignment horizontal="center" vertical="center" wrapText="1"/>
    </xf>
    <xf numFmtId="43" fontId="95" fillId="33" borderId="20" xfId="37" applyFont="1" applyFill="1" applyBorder="1" applyAlignment="1">
      <alignment horizontal="center" vertical="center"/>
    </xf>
    <xf numFmtId="43" fontId="97" fillId="33" borderId="12" xfId="37" applyFont="1" applyFill="1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43" fontId="2" fillId="0" borderId="0" xfId="37" applyFont="1" applyFill="1" applyBorder="1" applyAlignment="1">
      <alignment horizontal="center" vertical="center"/>
    </xf>
    <xf numFmtId="43" fontId="2" fillId="0" borderId="0" xfId="37" applyFont="1" applyFill="1" applyBorder="1" applyAlignment="1" applyProtection="1">
      <alignment horizontal="center" vertical="center"/>
      <protection/>
    </xf>
    <xf numFmtId="43" fontId="3" fillId="0" borderId="24" xfId="37" applyFont="1" applyBorder="1" applyAlignment="1">
      <alignment vertical="center"/>
    </xf>
    <xf numFmtId="43" fontId="3" fillId="0" borderId="15" xfId="37" applyFont="1" applyBorder="1" applyAlignment="1">
      <alignment vertical="center"/>
    </xf>
    <xf numFmtId="0" fontId="88" fillId="0" borderId="0" xfId="0" applyFont="1" applyAlignment="1">
      <alignment horizontal="center"/>
    </xf>
    <xf numFmtId="49" fontId="88" fillId="0" borderId="10" xfId="0" applyNumberFormat="1" applyFont="1" applyBorder="1" applyAlignment="1">
      <alignment horizontal="center"/>
    </xf>
    <xf numFmtId="43" fontId="82" fillId="0" borderId="12" xfId="37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2" fillId="0" borderId="12" xfId="0" applyFont="1" applyFill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43" fontId="10" fillId="0" borderId="0" xfId="37" applyFont="1" applyBorder="1" applyAlignment="1">
      <alignment/>
    </xf>
    <xf numFmtId="43" fontId="11" fillId="0" borderId="0" xfId="37" applyFont="1" applyBorder="1" applyAlignment="1">
      <alignment/>
    </xf>
    <xf numFmtId="43" fontId="99" fillId="0" borderId="0" xfId="37" applyFont="1" applyBorder="1" applyAlignment="1">
      <alignment/>
    </xf>
    <xf numFmtId="43" fontId="100" fillId="0" borderId="15" xfId="37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vertical="center"/>
    </xf>
    <xf numFmtId="43" fontId="3" fillId="0" borderId="25" xfId="37" applyFont="1" applyBorder="1" applyAlignment="1">
      <alignment vertical="center"/>
    </xf>
    <xf numFmtId="43" fontId="3" fillId="0" borderId="0" xfId="37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82" fillId="0" borderId="10" xfId="0" applyNumberFormat="1" applyFont="1" applyBorder="1" applyAlignment="1">
      <alignment horizontal="center"/>
    </xf>
    <xf numFmtId="49" fontId="82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43" fontId="10" fillId="0" borderId="10" xfId="37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43" fontId="10" fillId="0" borderId="10" xfId="37" applyFont="1" applyBorder="1" applyAlignment="1">
      <alignment/>
    </xf>
    <xf numFmtId="0" fontId="14" fillId="0" borderId="10" xfId="0" applyFont="1" applyBorder="1" applyAlignment="1">
      <alignment/>
    </xf>
    <xf numFmtId="43" fontId="10" fillId="0" borderId="13" xfId="37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5" fillId="0" borderId="24" xfId="0" applyFont="1" applyBorder="1" applyAlignment="1">
      <alignment horizontal="right"/>
    </xf>
    <xf numFmtId="43" fontId="15" fillId="0" borderId="10" xfId="37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43" fontId="10" fillId="0" borderId="27" xfId="37" applyFont="1" applyBorder="1" applyAlignment="1">
      <alignment/>
    </xf>
    <xf numFmtId="0" fontId="10" fillId="0" borderId="24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43" fontId="10" fillId="0" borderId="12" xfId="37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/>
    </xf>
    <xf numFmtId="43" fontId="10" fillId="0" borderId="28" xfId="37" applyFont="1" applyBorder="1" applyAlignment="1">
      <alignment/>
    </xf>
    <xf numFmtId="43" fontId="10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43" fontId="15" fillId="0" borderId="0" xfId="37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8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88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00" fontId="19" fillId="0" borderId="10" xfId="37" applyNumberFormat="1" applyFont="1" applyBorder="1" applyAlignment="1">
      <alignment horizontal="left"/>
    </xf>
    <xf numFmtId="43" fontId="19" fillId="0" borderId="10" xfId="37" applyFont="1" applyBorder="1" applyAlignment="1">
      <alignment horizontal="center"/>
    </xf>
    <xf numFmtId="43" fontId="19" fillId="0" borderId="10" xfId="37" applyFont="1" applyBorder="1" applyAlignment="1">
      <alignment/>
    </xf>
    <xf numFmtId="0" fontId="19" fillId="0" borderId="0" xfId="0" applyFont="1" applyAlignment="1">
      <alignment/>
    </xf>
    <xf numFmtId="200" fontId="19" fillId="0" borderId="10" xfId="37" applyNumberFormat="1" applyFont="1" applyBorder="1" applyAlignment="1">
      <alignment/>
    </xf>
    <xf numFmtId="200" fontId="20" fillId="0" borderId="10" xfId="37" applyNumberFormat="1" applyFont="1" applyBorder="1" applyAlignment="1">
      <alignment horizontal="center"/>
    </xf>
    <xf numFmtId="43" fontId="20" fillId="0" borderId="10" xfId="37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43" fontId="94" fillId="0" borderId="0" xfId="0" applyNumberFormat="1" applyFont="1" applyBorder="1" applyAlignment="1">
      <alignment/>
    </xf>
    <xf numFmtId="0" fontId="87" fillId="0" borderId="11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1" xfId="0" applyFont="1" applyBorder="1" applyAlignment="1">
      <alignment vertical="center"/>
    </xf>
    <xf numFmtId="43" fontId="22" fillId="0" borderId="31" xfId="37" applyFont="1" applyBorder="1" applyAlignment="1">
      <alignment vertical="center"/>
    </xf>
    <xf numFmtId="43" fontId="22" fillId="0" borderId="32" xfId="37" applyFont="1" applyBorder="1" applyAlignment="1">
      <alignment vertical="center"/>
    </xf>
    <xf numFmtId="43" fontId="22" fillId="0" borderId="17" xfId="37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22" fillId="0" borderId="30" xfId="37" applyFont="1" applyBorder="1" applyAlignment="1">
      <alignment horizontal="center" vertical="center"/>
    </xf>
    <xf numFmtId="43" fontId="22" fillId="0" borderId="0" xfId="37" applyFont="1" applyBorder="1" applyAlignment="1">
      <alignment vertical="center"/>
    </xf>
    <xf numFmtId="43" fontId="22" fillId="0" borderId="20" xfId="37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43" fontId="22" fillId="0" borderId="30" xfId="37" applyFont="1" applyBorder="1" applyAlignment="1">
      <alignment horizontal="right" vertical="center"/>
    </xf>
    <xf numFmtId="43" fontId="22" fillId="0" borderId="0" xfId="37" applyFont="1" applyBorder="1" applyAlignment="1">
      <alignment horizontal="right" vertical="center"/>
    </xf>
    <xf numFmtId="43" fontId="22" fillId="0" borderId="33" xfId="37" applyFont="1" applyBorder="1" applyAlignment="1">
      <alignment horizontal="right" vertical="center"/>
    </xf>
    <xf numFmtId="43" fontId="22" fillId="0" borderId="33" xfId="37" applyFont="1" applyBorder="1" applyAlignment="1">
      <alignment horizontal="center" vertical="center"/>
    </xf>
    <xf numFmtId="43" fontId="22" fillId="0" borderId="30" xfId="37" applyFont="1" applyBorder="1" applyAlignment="1">
      <alignment vertical="center"/>
    </xf>
    <xf numFmtId="43" fontId="22" fillId="0" borderId="0" xfId="37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3" fontId="22" fillId="0" borderId="34" xfId="37" applyFont="1" applyBorder="1" applyAlignment="1">
      <alignment horizontal="center" vertical="center"/>
    </xf>
    <xf numFmtId="43" fontId="22" fillId="0" borderId="20" xfId="37" applyFont="1" applyBorder="1" applyAlignment="1">
      <alignment horizontal="center"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43" fontId="22" fillId="0" borderId="33" xfId="37" applyFont="1" applyBorder="1" applyAlignment="1">
      <alignment vertical="center"/>
    </xf>
    <xf numFmtId="43" fontId="22" fillId="0" borderId="34" xfId="37" applyFont="1" applyBorder="1" applyAlignment="1">
      <alignment vertical="center"/>
    </xf>
    <xf numFmtId="43" fontId="22" fillId="0" borderId="16" xfId="37" applyFont="1" applyBorder="1" applyAlignment="1">
      <alignment horizontal="center" vertical="center"/>
    </xf>
    <xf numFmtId="43" fontId="5" fillId="0" borderId="0" xfId="37" applyFont="1" applyAlignment="1">
      <alignment vertical="center"/>
    </xf>
    <xf numFmtId="43" fontId="4" fillId="0" borderId="0" xfId="37" applyFont="1" applyAlignment="1">
      <alignment vertical="center"/>
    </xf>
    <xf numFmtId="43" fontId="83" fillId="0" borderId="0" xfId="0" applyNumberFormat="1" applyFont="1" applyBorder="1" applyAlignment="1">
      <alignment vertical="center"/>
    </xf>
    <xf numFmtId="0" fontId="88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8" fillId="0" borderId="31" xfId="0" applyFont="1" applyBorder="1" applyAlignment="1">
      <alignment horizontal="center"/>
    </xf>
    <xf numFmtId="0" fontId="88" fillId="0" borderId="32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88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3" fontId="25" fillId="0" borderId="11" xfId="37" applyFont="1" applyBorder="1" applyAlignment="1">
      <alignment/>
    </xf>
    <xf numFmtId="0" fontId="25" fillId="0" borderId="12" xfId="0" applyFont="1" applyBorder="1" applyAlignment="1">
      <alignment/>
    </xf>
    <xf numFmtId="43" fontId="25" fillId="0" borderId="12" xfId="37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33" borderId="11" xfId="0" applyFont="1" applyFill="1" applyBorder="1" applyAlignment="1">
      <alignment/>
    </xf>
    <xf numFmtId="43" fontId="26" fillId="0" borderId="12" xfId="37" applyFont="1" applyBorder="1" applyAlignment="1">
      <alignment/>
    </xf>
    <xf numFmtId="0" fontId="95" fillId="0" borderId="10" xfId="0" applyFont="1" applyBorder="1" applyAlignment="1">
      <alignment horizontal="center"/>
    </xf>
    <xf numFmtId="0" fontId="95" fillId="0" borderId="0" xfId="0" applyFont="1" applyAlignment="1">
      <alignment horizontal="center"/>
    </xf>
    <xf numFmtId="43" fontId="82" fillId="0" borderId="31" xfId="37" applyFont="1" applyBorder="1" applyAlignment="1">
      <alignment/>
    </xf>
    <xf numFmtId="43" fontId="82" fillId="0" borderId="30" xfId="37" applyFont="1" applyBorder="1" applyAlignment="1">
      <alignment/>
    </xf>
    <xf numFmtId="43" fontId="94" fillId="0" borderId="12" xfId="37" applyFont="1" applyBorder="1" applyAlignment="1">
      <alignment horizontal="center" vertical="center"/>
    </xf>
    <xf numFmtId="43" fontId="88" fillId="0" borderId="22" xfId="37" applyFont="1" applyBorder="1" applyAlignment="1">
      <alignment/>
    </xf>
    <xf numFmtId="43" fontId="95" fillId="0" borderId="36" xfId="0" applyNumberFormat="1" applyFont="1" applyBorder="1" applyAlignment="1">
      <alignment/>
    </xf>
    <xf numFmtId="43" fontId="95" fillId="0" borderId="37" xfId="0" applyNumberFormat="1" applyFont="1" applyBorder="1" applyAlignment="1">
      <alignment/>
    </xf>
    <xf numFmtId="43" fontId="95" fillId="0" borderId="38" xfId="0" applyNumberFormat="1" applyFont="1" applyBorder="1" applyAlignment="1">
      <alignment/>
    </xf>
    <xf numFmtId="43" fontId="95" fillId="0" borderId="12" xfId="37" applyFont="1" applyBorder="1" applyAlignment="1">
      <alignment/>
    </xf>
    <xf numFmtId="43" fontId="88" fillId="0" borderId="10" xfId="37" applyFont="1" applyBorder="1" applyAlignment="1">
      <alignment/>
    </xf>
    <xf numFmtId="0" fontId="27" fillId="0" borderId="0" xfId="0" applyFont="1" applyAlignment="1">
      <alignment wrapText="1"/>
    </xf>
    <xf numFmtId="4" fontId="8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3" fontId="9" fillId="0" borderId="0" xfId="37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4" fontId="8" fillId="0" borderId="2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3" fontId="8" fillId="0" borderId="24" xfId="37" applyFont="1" applyBorder="1" applyAlignment="1">
      <alignment horizontal="right"/>
    </xf>
    <xf numFmtId="43" fontId="8" fillId="0" borderId="15" xfId="37" applyFont="1" applyBorder="1" applyAlignment="1">
      <alignment horizontal="right"/>
    </xf>
    <xf numFmtId="43" fontId="94" fillId="33" borderId="20" xfId="37" applyFont="1" applyFill="1" applyBorder="1" applyAlignment="1">
      <alignment horizontal="center" vertical="center" wrapText="1"/>
    </xf>
    <xf numFmtId="43" fontId="95" fillId="0" borderId="0" xfId="37" applyFont="1" applyAlignment="1">
      <alignment horizontal="center"/>
    </xf>
    <xf numFmtId="43" fontId="95" fillId="0" borderId="12" xfId="37" applyFont="1" applyBorder="1" applyAlignment="1">
      <alignment horizontal="center"/>
    </xf>
    <xf numFmtId="0" fontId="101" fillId="0" borderId="11" xfId="0" applyFont="1" applyBorder="1" applyAlignment="1">
      <alignment horizontal="left" vertical="center"/>
    </xf>
    <xf numFmtId="43" fontId="102" fillId="0" borderId="17" xfId="37" applyFont="1" applyBorder="1" applyAlignment="1">
      <alignment vertical="center"/>
    </xf>
    <xf numFmtId="43" fontId="102" fillId="0" borderId="11" xfId="37" applyFont="1" applyBorder="1" applyAlignment="1">
      <alignment horizontal="center" vertical="center"/>
    </xf>
    <xf numFmtId="43" fontId="102" fillId="0" borderId="17" xfId="37" applyFont="1" applyBorder="1" applyAlignment="1">
      <alignment horizontal="center" vertical="center"/>
    </xf>
    <xf numFmtId="43" fontId="102" fillId="0" borderId="17" xfId="37" applyFont="1" applyBorder="1" applyAlignment="1">
      <alignment horizontal="center" vertical="center" wrapText="1"/>
    </xf>
    <xf numFmtId="0" fontId="103" fillId="0" borderId="12" xfId="0" applyFont="1" applyBorder="1" applyAlignment="1">
      <alignment horizontal="left" vertical="center"/>
    </xf>
    <xf numFmtId="43" fontId="26" fillId="0" borderId="12" xfId="37" applyFont="1" applyBorder="1" applyAlignment="1">
      <alignment/>
    </xf>
    <xf numFmtId="43" fontId="103" fillId="0" borderId="12" xfId="37" applyFont="1" applyBorder="1" applyAlignment="1">
      <alignment/>
    </xf>
    <xf numFmtId="43" fontId="103" fillId="0" borderId="20" xfId="37" applyFont="1" applyBorder="1" applyAlignment="1">
      <alignment/>
    </xf>
    <xf numFmtId="43" fontId="102" fillId="0" borderId="12" xfId="37" applyFont="1" applyBorder="1" applyAlignment="1">
      <alignment horizontal="center" vertical="center"/>
    </xf>
    <xf numFmtId="43" fontId="102" fillId="33" borderId="20" xfId="37" applyFont="1" applyFill="1" applyBorder="1" applyAlignment="1">
      <alignment horizontal="center" vertical="center" wrapText="1"/>
    </xf>
    <xf numFmtId="43" fontId="102" fillId="33" borderId="20" xfId="37" applyFont="1" applyFill="1" applyBorder="1" applyAlignment="1">
      <alignment horizontal="center" vertical="center"/>
    </xf>
    <xf numFmtId="43" fontId="103" fillId="33" borderId="20" xfId="37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/>
    </xf>
    <xf numFmtId="43" fontId="103" fillId="0" borderId="12" xfId="37" applyFont="1" applyBorder="1" applyAlignment="1">
      <alignment/>
    </xf>
    <xf numFmtId="43" fontId="103" fillId="0" borderId="12" xfId="37" applyFont="1" applyBorder="1" applyAlignment="1">
      <alignment horizontal="center" vertical="center"/>
    </xf>
    <xf numFmtId="43" fontId="103" fillId="33" borderId="12" xfId="37" applyFont="1" applyFill="1" applyBorder="1" applyAlignment="1">
      <alignment/>
    </xf>
    <xf numFmtId="43" fontId="102" fillId="0" borderId="12" xfId="37" applyFont="1" applyBorder="1" applyAlignment="1">
      <alignment horizontal="center"/>
    </xf>
    <xf numFmtId="43" fontId="102" fillId="0" borderId="0" xfId="37" applyFont="1" applyAlignment="1">
      <alignment horizontal="center"/>
    </xf>
    <xf numFmtId="0" fontId="103" fillId="0" borderId="12" xfId="0" applyFont="1" applyBorder="1" applyAlignment="1">
      <alignment vertical="center"/>
    </xf>
    <xf numFmtId="43" fontId="103" fillId="0" borderId="12" xfId="37" applyFont="1" applyBorder="1" applyAlignment="1">
      <alignment vertical="center"/>
    </xf>
    <xf numFmtId="0" fontId="103" fillId="0" borderId="13" xfId="0" applyFont="1" applyBorder="1" applyAlignment="1">
      <alignment vertical="center"/>
    </xf>
    <xf numFmtId="43" fontId="103" fillId="0" borderId="13" xfId="37" applyFont="1" applyBorder="1" applyAlignment="1">
      <alignment vertical="center"/>
    </xf>
    <xf numFmtId="43" fontId="103" fillId="0" borderId="13" xfId="37" applyFont="1" applyBorder="1" applyAlignment="1">
      <alignment/>
    </xf>
    <xf numFmtId="43" fontId="102" fillId="0" borderId="13" xfId="37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43" fontId="102" fillId="0" borderId="22" xfId="37" applyFont="1" applyBorder="1" applyAlignment="1">
      <alignment vertical="center"/>
    </xf>
    <xf numFmtId="43" fontId="102" fillId="0" borderId="23" xfId="37" applyFont="1" applyBorder="1" applyAlignment="1">
      <alignment horizontal="center" vertical="center" wrapText="1"/>
    </xf>
    <xf numFmtId="0" fontId="101" fillId="0" borderId="11" xfId="0" applyFont="1" applyBorder="1" applyAlignment="1">
      <alignment vertical="center"/>
    </xf>
    <xf numFmtId="43" fontId="102" fillId="0" borderId="12" xfId="37" applyFont="1" applyBorder="1" applyAlignment="1">
      <alignment vertical="center"/>
    </xf>
    <xf numFmtId="43" fontId="102" fillId="0" borderId="12" xfId="37" applyFont="1" applyBorder="1" applyAlignment="1">
      <alignment horizontal="center" vertical="center" wrapText="1"/>
    </xf>
    <xf numFmtId="43" fontId="102" fillId="0" borderId="12" xfId="37" applyFont="1" applyBorder="1" applyAlignment="1">
      <alignment/>
    </xf>
    <xf numFmtId="0" fontId="102" fillId="0" borderId="10" xfId="0" applyFont="1" applyBorder="1" applyAlignment="1">
      <alignment horizontal="center"/>
    </xf>
    <xf numFmtId="43" fontId="102" fillId="0" borderId="22" xfId="0" applyNumberFormat="1" applyFont="1" applyBorder="1" applyAlignment="1">
      <alignment/>
    </xf>
    <xf numFmtId="43" fontId="102" fillId="0" borderId="22" xfId="37" applyFont="1" applyBorder="1" applyAlignment="1">
      <alignment/>
    </xf>
    <xf numFmtId="43" fontId="103" fillId="0" borderId="22" xfId="37" applyFont="1" applyBorder="1" applyAlignment="1">
      <alignment/>
    </xf>
    <xf numFmtId="0" fontId="104" fillId="0" borderId="0" xfId="0" applyFont="1" applyAlignment="1">
      <alignment/>
    </xf>
    <xf numFmtId="0" fontId="10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8" fillId="0" borderId="26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88" fillId="0" borderId="0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43" fontId="82" fillId="0" borderId="10" xfId="37" applyFont="1" applyBorder="1" applyAlignment="1">
      <alignment horizontal="center"/>
    </xf>
    <xf numFmtId="43" fontId="88" fillId="0" borderId="10" xfId="37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26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88" fillId="0" borderId="10" xfId="0" applyFont="1" applyBorder="1" applyAlignment="1">
      <alignment horizontal="center" vertical="center"/>
    </xf>
    <xf numFmtId="49" fontId="88" fillId="0" borderId="10" xfId="0" applyNumberFormat="1" applyFont="1" applyBorder="1" applyAlignment="1">
      <alignment horizontal="center"/>
    </xf>
    <xf numFmtId="49" fontId="88" fillId="0" borderId="10" xfId="37" applyNumberFormat="1" applyFont="1" applyBorder="1" applyAlignment="1">
      <alignment horizontal="center"/>
    </xf>
    <xf numFmtId="0" fontId="15" fillId="0" borderId="26" xfId="0" applyFont="1" applyBorder="1" applyAlignment="1">
      <alignment horizontal="right"/>
    </xf>
    <xf numFmtId="0" fontId="15" fillId="0" borderId="24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34" xfId="0" applyFont="1" applyBorder="1" applyAlignment="1">
      <alignment horizontal="center"/>
    </xf>
    <xf numFmtId="0" fontId="89" fillId="0" borderId="26" xfId="0" applyFont="1" applyBorder="1" applyAlignment="1">
      <alignment horizontal="center"/>
    </xf>
    <xf numFmtId="0" fontId="89" fillId="0" borderId="24" xfId="0" applyFont="1" applyBorder="1" applyAlignment="1">
      <alignment horizontal="center"/>
    </xf>
    <xf numFmtId="0" fontId="89" fillId="0" borderId="16" xfId="0" applyFont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3" fontId="4" fillId="0" borderId="10" xfId="37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95" fillId="0" borderId="10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8" fillId="0" borderId="34" xfId="0" applyFont="1" applyBorder="1" applyAlignment="1">
      <alignment horizontal="center"/>
    </xf>
    <xf numFmtId="0" fontId="88" fillId="0" borderId="11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3</xdr:row>
      <xdr:rowOff>114300</xdr:rowOff>
    </xdr:from>
    <xdr:to>
      <xdr:col>4</xdr:col>
      <xdr:colOff>0</xdr:colOff>
      <xdr:row>5</xdr:row>
      <xdr:rowOff>0</xdr:rowOff>
    </xdr:to>
    <xdr:sp>
      <xdr:nvSpPr>
        <xdr:cNvPr id="1" name="Flowchart: Data 1"/>
        <xdr:cNvSpPr>
          <a:spLocks/>
        </xdr:cNvSpPr>
      </xdr:nvSpPr>
      <xdr:spPr>
        <a:xfrm>
          <a:off x="1247775" y="1066800"/>
          <a:ext cx="2533650" cy="409575"/>
        </a:xfrm>
        <a:prstGeom prst="flowChartInputOutpu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1"/>
  <sheetViews>
    <sheetView zoomScaleSheetLayoutView="100" zoomScalePageLayoutView="0" workbookViewId="0" topLeftCell="A4">
      <selection activeCell="D12" sqref="D12"/>
    </sheetView>
  </sheetViews>
  <sheetFormatPr defaultColWidth="9.140625" defaultRowHeight="15"/>
  <cols>
    <col min="1" max="2" width="4.57421875" style="1" customWidth="1"/>
    <col min="3" max="3" width="5.421875" style="1" customWidth="1"/>
    <col min="4" max="4" width="30.421875" style="1" customWidth="1"/>
    <col min="5" max="5" width="9.8515625" style="19" customWidth="1"/>
    <col min="6" max="6" width="5.28125" style="22" customWidth="1"/>
    <col min="7" max="7" width="15.28125" style="22" customWidth="1"/>
    <col min="8" max="8" width="5.00390625" style="22" customWidth="1"/>
    <col min="9" max="9" width="14.8515625" style="23" customWidth="1"/>
    <col min="10" max="11" width="9.00390625" style="1" customWidth="1"/>
    <col min="12" max="12" width="10.140625" style="1" bestFit="1" customWidth="1"/>
    <col min="13" max="16384" width="9.00390625" style="1" customWidth="1"/>
  </cols>
  <sheetData>
    <row r="1" spans="1:9" ht="23.25">
      <c r="A1" s="441" t="s">
        <v>339</v>
      </c>
      <c r="B1" s="441"/>
      <c r="C1" s="441"/>
      <c r="D1" s="441"/>
      <c r="E1" s="441"/>
      <c r="F1" s="441"/>
      <c r="G1" s="441"/>
      <c r="H1" s="441"/>
      <c r="I1" s="441"/>
    </row>
    <row r="2" spans="1:9" ht="23.25">
      <c r="A2" s="442" t="s">
        <v>0</v>
      </c>
      <c r="B2" s="442"/>
      <c r="C2" s="442"/>
      <c r="D2" s="442"/>
      <c r="E2" s="442"/>
      <c r="F2" s="442"/>
      <c r="G2" s="442"/>
      <c r="H2" s="442"/>
      <c r="I2" s="442"/>
    </row>
    <row r="3" spans="1:9" ht="23.25">
      <c r="A3" s="442" t="s">
        <v>446</v>
      </c>
      <c r="B3" s="442"/>
      <c r="C3" s="442"/>
      <c r="D3" s="442"/>
      <c r="E3" s="442"/>
      <c r="F3" s="442"/>
      <c r="G3" s="442"/>
      <c r="H3" s="442"/>
      <c r="I3" s="442"/>
    </row>
    <row r="4" spans="1:9" ht="13.5" customHeight="1">
      <c r="A4" s="442"/>
      <c r="B4" s="442"/>
      <c r="C4" s="442"/>
      <c r="D4" s="442"/>
      <c r="E4" s="442"/>
      <c r="F4" s="442"/>
      <c r="G4" s="442"/>
      <c r="H4" s="442"/>
      <c r="I4" s="442"/>
    </row>
    <row r="5" spans="1:9" s="4" customFormat="1" ht="26.25">
      <c r="A5" s="16"/>
      <c r="B5" s="16"/>
      <c r="C5" s="16"/>
      <c r="D5" s="16"/>
      <c r="E5" s="55" t="s">
        <v>53</v>
      </c>
      <c r="F5" s="3"/>
      <c r="G5" s="244" t="s">
        <v>181</v>
      </c>
      <c r="H5" s="244"/>
      <c r="I5" s="16" t="s">
        <v>214</v>
      </c>
    </row>
    <row r="6" spans="1:9" s="4" customFormat="1" ht="27" thickBot="1">
      <c r="A6" s="5" t="s">
        <v>2</v>
      </c>
      <c r="B6" s="6"/>
      <c r="E6" s="55">
        <v>2</v>
      </c>
      <c r="F6" s="3"/>
      <c r="G6" s="262">
        <f>+งบทรัพย์สิน!B32</f>
        <v>14292327</v>
      </c>
      <c r="H6" s="263"/>
      <c r="I6" s="262">
        <f>งบทรัพย์สิน!C32</f>
        <v>14081527</v>
      </c>
    </row>
    <row r="7" spans="1:9" s="4" customFormat="1" ht="27" thickTop="1">
      <c r="A7" s="5" t="s">
        <v>1</v>
      </c>
      <c r="B7" s="6"/>
      <c r="D7" s="1"/>
      <c r="E7" s="55"/>
      <c r="F7" s="3"/>
      <c r="G7" s="3"/>
      <c r="H7" s="3"/>
      <c r="I7" s="7"/>
    </row>
    <row r="8" spans="1:9" s="4" customFormat="1" ht="24" customHeight="1">
      <c r="A8" s="6"/>
      <c r="B8" s="5" t="s">
        <v>54</v>
      </c>
      <c r="E8" s="55"/>
      <c r="F8" s="3"/>
      <c r="G8" s="3"/>
      <c r="H8" s="3"/>
      <c r="I8" s="7"/>
    </row>
    <row r="9" spans="3:9" s="4" customFormat="1" ht="24" customHeight="1">
      <c r="C9" s="8" t="s">
        <v>3</v>
      </c>
      <c r="E9" s="55">
        <v>3</v>
      </c>
      <c r="F9" s="3"/>
      <c r="G9" s="10">
        <f>'หมายเหตุ 3,4,5,6'!D15</f>
        <v>20962997.47</v>
      </c>
      <c r="H9" s="9"/>
      <c r="I9" s="10">
        <f>'หมายเหตุ 3,4,5,6'!F15</f>
        <v>15764240.87</v>
      </c>
    </row>
    <row r="10" spans="3:9" s="4" customFormat="1" ht="24" customHeight="1">
      <c r="C10" s="8" t="s">
        <v>182</v>
      </c>
      <c r="E10" s="55">
        <v>4</v>
      </c>
      <c r="F10" s="3"/>
      <c r="G10" s="245">
        <f>'หมายเหตุ 3,4,5,6'!D21</f>
        <v>0</v>
      </c>
      <c r="H10" s="9"/>
      <c r="I10" s="10">
        <f>'หมายเหตุ 3,4,5,6'!F21</f>
        <v>0</v>
      </c>
    </row>
    <row r="11" spans="3:14" s="4" customFormat="1" ht="24" customHeight="1">
      <c r="C11" s="8" t="s">
        <v>183</v>
      </c>
      <c r="E11" s="55">
        <v>5</v>
      </c>
      <c r="F11" s="3"/>
      <c r="G11" s="245">
        <f>'หมายเหตุ 3,4,5,6'!D26</f>
        <v>0</v>
      </c>
      <c r="H11" s="9"/>
      <c r="I11" s="10">
        <f>'หมายเหตุ 3,4,5,6'!F26</f>
        <v>0</v>
      </c>
      <c r="N11" s="11"/>
    </row>
    <row r="12" spans="3:9" s="4" customFormat="1" ht="24" customHeight="1">
      <c r="C12" s="8" t="s">
        <v>5</v>
      </c>
      <c r="E12" s="55">
        <v>6</v>
      </c>
      <c r="F12" s="3"/>
      <c r="G12" s="245">
        <f>+'หมายเหตุ 3,4,5,6'!D41</f>
        <v>0</v>
      </c>
      <c r="H12" s="9"/>
      <c r="I12" s="10">
        <f>+'หมายเหตุ 3,4,5,6'!D51</f>
        <v>0</v>
      </c>
    </row>
    <row r="13" spans="3:9" s="4" customFormat="1" ht="24" customHeight="1">
      <c r="C13" s="8" t="s">
        <v>55</v>
      </c>
      <c r="E13" s="55">
        <v>7</v>
      </c>
      <c r="F13" s="3"/>
      <c r="G13" s="245">
        <f>'หมายเหตุ 7'!D13</f>
        <v>3620000</v>
      </c>
      <c r="H13" s="9"/>
      <c r="I13" s="10">
        <f>'หมายเหตุ 7'!F13</f>
        <v>4293526.28</v>
      </c>
    </row>
    <row r="14" spans="3:9" s="4" customFormat="1" ht="24" customHeight="1">
      <c r="C14" s="8" t="s">
        <v>4</v>
      </c>
      <c r="E14" s="55">
        <v>8</v>
      </c>
      <c r="F14" s="3"/>
      <c r="G14" s="245">
        <f>'หมายเหตุ 8'!E17</f>
        <v>0</v>
      </c>
      <c r="H14" s="9"/>
      <c r="I14" s="10">
        <f>'หมายเหตุ 8'!H17</f>
        <v>0</v>
      </c>
    </row>
    <row r="15" spans="3:9" s="4" customFormat="1" ht="24" customHeight="1">
      <c r="C15" s="8" t="s">
        <v>56</v>
      </c>
      <c r="D15" s="8"/>
      <c r="E15" s="53">
        <v>9</v>
      </c>
      <c r="F15" s="12"/>
      <c r="G15" s="246">
        <f>'หมายเหตุ9-11'!C8</f>
        <v>0</v>
      </c>
      <c r="H15" s="13"/>
      <c r="I15" s="10">
        <f>'หมายเหตุ9-11'!E8</f>
        <v>0</v>
      </c>
    </row>
    <row r="16" spans="3:9" s="4" customFormat="1" ht="24" customHeight="1">
      <c r="C16" s="8" t="s">
        <v>7</v>
      </c>
      <c r="D16" s="8"/>
      <c r="E16" s="53">
        <v>10</v>
      </c>
      <c r="F16" s="12"/>
      <c r="G16" s="246">
        <f>+'หมายเหตุ9-11'!C15</f>
        <v>0</v>
      </c>
      <c r="H16" s="13"/>
      <c r="I16" s="10">
        <f>+'หมายเหตุ9-11'!C21</f>
        <v>20000</v>
      </c>
    </row>
    <row r="17" spans="3:9" s="4" customFormat="1" ht="24" customHeight="1">
      <c r="C17" s="8" t="s">
        <v>8</v>
      </c>
      <c r="D17" s="8"/>
      <c r="E17" s="53">
        <v>11</v>
      </c>
      <c r="F17" s="12"/>
      <c r="G17" s="246">
        <f>'หมายเหตุ9-11'!C26</f>
        <v>0</v>
      </c>
      <c r="H17" s="13"/>
      <c r="I17" s="10">
        <f>'หมายเหตุ9-11'!E26</f>
        <v>0</v>
      </c>
    </row>
    <row r="18" spans="3:9" s="4" customFormat="1" ht="24" customHeight="1">
      <c r="C18" s="8" t="s">
        <v>6</v>
      </c>
      <c r="E18" s="55">
        <v>12</v>
      </c>
      <c r="F18" s="3"/>
      <c r="G18" s="245">
        <f>+'หมายเหตุ12-14'!C10</f>
        <v>0</v>
      </c>
      <c r="H18" s="9"/>
      <c r="I18" s="10">
        <f>+'หมายเหตุ12-14'!C16</f>
        <v>0</v>
      </c>
    </row>
    <row r="19" spans="3:9" s="4" customFormat="1" ht="24" customHeight="1">
      <c r="C19" s="8" t="s">
        <v>57</v>
      </c>
      <c r="E19" s="53">
        <v>13</v>
      </c>
      <c r="F19" s="12"/>
      <c r="G19" s="246">
        <f>'หมายเหตุ12-14'!C27</f>
        <v>0</v>
      </c>
      <c r="H19" s="13"/>
      <c r="I19" s="10">
        <f>'หมายเหตุ12-14'!E27</f>
        <v>0</v>
      </c>
    </row>
    <row r="20" spans="3:9" s="4" customFormat="1" ht="24" customHeight="1">
      <c r="C20" s="5" t="s">
        <v>58</v>
      </c>
      <c r="E20" s="53"/>
      <c r="F20" s="12"/>
      <c r="G20" s="247">
        <f>SUM(G9:G19)</f>
        <v>24582997.47</v>
      </c>
      <c r="H20" s="13"/>
      <c r="I20" s="247">
        <f>SUM(I9:I19)</f>
        <v>20077767.15</v>
      </c>
    </row>
    <row r="21" spans="2:9" s="4" customFormat="1" ht="24" customHeight="1">
      <c r="B21" s="5" t="s">
        <v>180</v>
      </c>
      <c r="C21" s="8"/>
      <c r="E21" s="53"/>
      <c r="F21" s="12"/>
      <c r="G21" s="13"/>
      <c r="H21" s="13"/>
      <c r="I21" s="10"/>
    </row>
    <row r="22" spans="3:9" s="264" customFormat="1" ht="24" customHeight="1">
      <c r="C22" s="8" t="s">
        <v>184</v>
      </c>
      <c r="E22" s="55">
        <v>2</v>
      </c>
      <c r="F22" s="55"/>
      <c r="G22" s="245">
        <v>0</v>
      </c>
      <c r="H22" s="245"/>
      <c r="I22" s="10">
        <v>0</v>
      </c>
    </row>
    <row r="23" spans="3:9" s="264" customFormat="1" ht="24" customHeight="1">
      <c r="C23" s="8" t="s">
        <v>9</v>
      </c>
      <c r="E23" s="55"/>
      <c r="F23" s="55"/>
      <c r="G23" s="245">
        <v>0</v>
      </c>
      <c r="H23" s="245"/>
      <c r="I23" s="10">
        <v>0</v>
      </c>
    </row>
    <row r="24" spans="3:9" s="264" customFormat="1" ht="24" customHeight="1">
      <c r="C24" s="261" t="s">
        <v>185</v>
      </c>
      <c r="E24" s="55">
        <v>14</v>
      </c>
      <c r="F24" s="55"/>
      <c r="G24" s="245">
        <f>'หมายเหตุ12-14'!C27</f>
        <v>0</v>
      </c>
      <c r="H24" s="245"/>
      <c r="I24" s="10">
        <f>'หมายเหตุ12-14'!E27</f>
        <v>0</v>
      </c>
    </row>
    <row r="25" spans="3:9" s="4" customFormat="1" ht="24" customHeight="1">
      <c r="C25" s="5" t="s">
        <v>59</v>
      </c>
      <c r="E25" s="55"/>
      <c r="F25" s="3"/>
      <c r="G25" s="247">
        <f>SUM(G22:G24)</f>
        <v>0</v>
      </c>
      <c r="H25" s="9"/>
      <c r="I25" s="247">
        <f>SUM(I22:I24)</f>
        <v>0</v>
      </c>
    </row>
    <row r="26" spans="1:9" s="4" customFormat="1" ht="24" customHeight="1" thickBot="1">
      <c r="A26" s="14" t="s">
        <v>10</v>
      </c>
      <c r="E26" s="53"/>
      <c r="F26" s="12"/>
      <c r="G26" s="248">
        <f>+G20+G25</f>
        <v>24582997.47</v>
      </c>
      <c r="H26" s="13"/>
      <c r="I26" s="248">
        <f>+I20+I25</f>
        <v>20077767.15</v>
      </c>
    </row>
    <row r="27" spans="1:9" s="4" customFormat="1" ht="24" customHeight="1" thickTop="1">
      <c r="A27" s="14"/>
      <c r="E27" s="53"/>
      <c r="F27" s="12"/>
      <c r="G27" s="13"/>
      <c r="H27" s="13"/>
      <c r="I27" s="10"/>
    </row>
    <row r="28" spans="1:9" s="6" customFormat="1" ht="24" customHeight="1">
      <c r="A28" s="8" t="s">
        <v>186</v>
      </c>
      <c r="B28" s="8"/>
      <c r="C28" s="8"/>
      <c r="D28" s="8"/>
      <c r="E28" s="261"/>
      <c r="G28" s="15"/>
      <c r="H28" s="15"/>
      <c r="I28" s="15"/>
    </row>
    <row r="29" spans="1:5" s="6" customFormat="1" ht="24" customHeight="1">
      <c r="A29" s="8"/>
      <c r="B29" s="8"/>
      <c r="C29" s="8"/>
      <c r="D29" s="8"/>
      <c r="E29" s="261"/>
    </row>
    <row r="30" spans="3:9" s="4" customFormat="1" ht="24" customHeight="1">
      <c r="C30" s="8"/>
      <c r="E30" s="55"/>
      <c r="F30" s="3"/>
      <c r="G30" s="3"/>
      <c r="H30" s="3"/>
      <c r="I30" s="7"/>
    </row>
    <row r="31" spans="1:9" s="4" customFormat="1" ht="24" customHeight="1">
      <c r="A31" s="444" t="str">
        <f>A1</f>
        <v>องค์การบริหารส่วนตำบลหันห้วยทราย</v>
      </c>
      <c r="B31" s="444"/>
      <c r="C31" s="444"/>
      <c r="D31" s="444"/>
      <c r="E31" s="444"/>
      <c r="F31" s="444"/>
      <c r="G31" s="444"/>
      <c r="H31" s="444"/>
      <c r="I31" s="444"/>
    </row>
    <row r="32" spans="1:9" s="4" customFormat="1" ht="24" customHeight="1">
      <c r="A32" s="444" t="s">
        <v>0</v>
      </c>
      <c r="B32" s="444"/>
      <c r="C32" s="444"/>
      <c r="D32" s="444"/>
      <c r="E32" s="444"/>
      <c r="F32" s="444"/>
      <c r="G32" s="444"/>
      <c r="H32" s="444"/>
      <c r="I32" s="444"/>
    </row>
    <row r="33" spans="1:9" s="4" customFormat="1" ht="24" customHeight="1">
      <c r="A33" s="444" t="s">
        <v>448</v>
      </c>
      <c r="B33" s="444"/>
      <c r="C33" s="444"/>
      <c r="D33" s="444"/>
      <c r="E33" s="444"/>
      <c r="F33" s="444"/>
      <c r="G33" s="444"/>
      <c r="H33" s="444"/>
      <c r="I33" s="444"/>
    </row>
    <row r="34" spans="1:9" s="4" customFormat="1" ht="24" customHeight="1">
      <c r="A34" s="443"/>
      <c r="B34" s="443"/>
      <c r="C34" s="443"/>
      <c r="D34" s="443"/>
      <c r="E34" s="443"/>
      <c r="F34" s="443"/>
      <c r="G34" s="443"/>
      <c r="H34" s="443"/>
      <c r="I34" s="443"/>
    </row>
    <row r="35" spans="1:9" s="4" customFormat="1" ht="24" customHeight="1">
      <c r="A35" s="2"/>
      <c r="B35" s="2"/>
      <c r="C35" s="2"/>
      <c r="D35" s="2"/>
      <c r="E35" s="55" t="s">
        <v>53</v>
      </c>
      <c r="F35" s="3"/>
      <c r="G35" s="244" t="s">
        <v>181</v>
      </c>
      <c r="H35" s="244"/>
      <c r="I35" s="16" t="s">
        <v>214</v>
      </c>
    </row>
    <row r="36" spans="1:9" s="4" customFormat="1" ht="24" customHeight="1" thickBot="1">
      <c r="A36" s="5" t="s">
        <v>12</v>
      </c>
      <c r="B36" s="6"/>
      <c r="E36" s="55">
        <v>2</v>
      </c>
      <c r="F36" s="3"/>
      <c r="G36" s="262">
        <f>+งบทรัพย์สิน!B32</f>
        <v>14292327</v>
      </c>
      <c r="H36" s="263"/>
      <c r="I36" s="262">
        <f>+งบทรัพย์สิน!C32</f>
        <v>14081527</v>
      </c>
    </row>
    <row r="37" spans="1:9" s="4" customFormat="1" ht="24" customHeight="1" thickTop="1">
      <c r="A37" s="14" t="s">
        <v>11</v>
      </c>
      <c r="B37" s="8"/>
      <c r="C37" s="6"/>
      <c r="E37" s="55"/>
      <c r="F37" s="3"/>
      <c r="G37" s="9"/>
      <c r="H37" s="9"/>
      <c r="I37" s="10"/>
    </row>
    <row r="38" spans="1:9" s="4" customFormat="1" ht="24" customHeight="1">
      <c r="A38" s="8"/>
      <c r="B38" s="5" t="s">
        <v>60</v>
      </c>
      <c r="C38" s="6"/>
      <c r="E38" s="55"/>
      <c r="F38" s="3"/>
      <c r="G38" s="9"/>
      <c r="H38" s="9"/>
      <c r="I38" s="10"/>
    </row>
    <row r="39" spans="1:9" s="4" customFormat="1" ht="24" customHeight="1">
      <c r="A39" s="8"/>
      <c r="B39" s="5"/>
      <c r="C39" s="8" t="s">
        <v>14</v>
      </c>
      <c r="E39" s="55">
        <v>15</v>
      </c>
      <c r="F39" s="3"/>
      <c r="G39" s="245">
        <f>'หมายเหตุ 15'!G41</f>
        <v>6898206.48</v>
      </c>
      <c r="H39" s="9"/>
      <c r="I39" s="245">
        <f>'หมายเหตุ 15'!G96</f>
        <v>5467891</v>
      </c>
    </row>
    <row r="40" spans="1:9" s="4" customFormat="1" ht="24" customHeight="1">
      <c r="A40" s="8"/>
      <c r="B40" s="5"/>
      <c r="C40" s="8" t="s">
        <v>15</v>
      </c>
      <c r="E40" s="55">
        <v>16</v>
      </c>
      <c r="F40" s="3"/>
      <c r="G40" s="245">
        <f>'หมายเหตุ 16-18'!G12</f>
        <v>0</v>
      </c>
      <c r="H40" s="9"/>
      <c r="I40" s="245">
        <f>'หมายเหตุ 16-18'!G18</f>
        <v>0</v>
      </c>
    </row>
    <row r="41" spans="1:9" s="4" customFormat="1" ht="24" customHeight="1">
      <c r="A41" s="8"/>
      <c r="B41" s="5"/>
      <c r="C41" s="8" t="s">
        <v>16</v>
      </c>
      <c r="E41" s="55"/>
      <c r="F41" s="3"/>
      <c r="G41" s="245">
        <v>0</v>
      </c>
      <c r="H41" s="9"/>
      <c r="I41" s="10">
        <v>0</v>
      </c>
    </row>
    <row r="42" spans="1:9" s="4" customFormat="1" ht="24" customHeight="1">
      <c r="A42" s="8"/>
      <c r="B42" s="5"/>
      <c r="C42" s="8" t="s">
        <v>13</v>
      </c>
      <c r="E42" s="55">
        <v>17</v>
      </c>
      <c r="F42" s="3"/>
      <c r="G42" s="245">
        <f>'หมายเหตุ 16-18'!E30</f>
        <v>1724073.46</v>
      </c>
      <c r="H42" s="9"/>
      <c r="I42" s="245">
        <f>'หมายเหตุ 16-18'!G30</f>
        <v>2159059.97</v>
      </c>
    </row>
    <row r="43" spans="3:9" s="4" customFormat="1" ht="24" customHeight="1">
      <c r="C43" s="6" t="s">
        <v>18</v>
      </c>
      <c r="E43" s="55">
        <v>18</v>
      </c>
      <c r="F43" s="3"/>
      <c r="G43" s="245">
        <f>'หมายเหตุ 16-18'!E35</f>
        <v>0</v>
      </c>
      <c r="H43" s="9"/>
      <c r="I43" s="245">
        <f>'หมายเหตุ 16-18'!G35</f>
        <v>0</v>
      </c>
    </row>
    <row r="44" spans="3:9" s="4" customFormat="1" ht="24" customHeight="1">
      <c r="C44" s="5" t="s">
        <v>61</v>
      </c>
      <c r="E44" s="55"/>
      <c r="F44" s="3"/>
      <c r="G44" s="247">
        <f>SUM(G39:G43)</f>
        <v>8622279.940000001</v>
      </c>
      <c r="H44" s="9"/>
      <c r="I44" s="247">
        <f>SUM(I39:I43)</f>
        <v>7626950.970000001</v>
      </c>
    </row>
    <row r="45" spans="2:9" s="4" customFormat="1" ht="24" customHeight="1">
      <c r="B45" s="5" t="s">
        <v>62</v>
      </c>
      <c r="E45" s="55"/>
      <c r="F45" s="3"/>
      <c r="G45" s="9"/>
      <c r="H45" s="9"/>
      <c r="I45" s="10"/>
    </row>
    <row r="46" spans="3:12" s="4" customFormat="1" ht="24" customHeight="1">
      <c r="C46" s="8" t="s">
        <v>17</v>
      </c>
      <c r="E46" s="55">
        <v>19</v>
      </c>
      <c r="F46" s="3"/>
      <c r="G46" s="245">
        <f>'หมายเหตุ 19-20'!F11</f>
        <v>0</v>
      </c>
      <c r="H46" s="9"/>
      <c r="I46" s="10">
        <f>'หมายเหตุ 19-20'!F19</f>
        <v>0</v>
      </c>
      <c r="L46" s="356">
        <f>G26-G55</f>
        <v>0</v>
      </c>
    </row>
    <row r="47" spans="3:9" s="4" customFormat="1" ht="24" customHeight="1">
      <c r="C47" s="4" t="s">
        <v>19</v>
      </c>
      <c r="E47" s="55">
        <v>20</v>
      </c>
      <c r="F47" s="3"/>
      <c r="G47" s="245">
        <f>'หมายเหตุ 19-20'!E25</f>
        <v>0</v>
      </c>
      <c r="H47" s="9"/>
      <c r="I47" s="10">
        <f>'หมายเหตุ 19-20'!G25</f>
        <v>0</v>
      </c>
    </row>
    <row r="48" spans="3:9" s="4" customFormat="1" ht="24" customHeight="1">
      <c r="C48" s="5" t="s">
        <v>63</v>
      </c>
      <c r="E48" s="55"/>
      <c r="F48" s="3"/>
      <c r="G48" s="247">
        <f>SUM(G46:G47)</f>
        <v>0</v>
      </c>
      <c r="H48" s="9"/>
      <c r="I48" s="247">
        <f>SUM(I46:I47)</f>
        <v>0</v>
      </c>
    </row>
    <row r="49" spans="2:9" s="4" customFormat="1" ht="24" customHeight="1">
      <c r="B49" s="17" t="s">
        <v>20</v>
      </c>
      <c r="E49" s="55"/>
      <c r="F49" s="3"/>
      <c r="G49" s="9"/>
      <c r="H49" s="9"/>
      <c r="I49" s="10"/>
    </row>
    <row r="50" spans="2:9" s="4" customFormat="1" ht="24" customHeight="1">
      <c r="B50" s="17"/>
      <c r="E50" s="55"/>
      <c r="F50" s="3"/>
      <c r="G50" s="9"/>
      <c r="H50" s="9"/>
      <c r="I50" s="10"/>
    </row>
    <row r="51" spans="1:9" s="4" customFormat="1" ht="24" customHeight="1">
      <c r="A51" s="17" t="s">
        <v>21</v>
      </c>
      <c r="E51" s="55"/>
      <c r="F51" s="3"/>
      <c r="G51" s="9"/>
      <c r="H51" s="9"/>
      <c r="I51" s="10"/>
    </row>
    <row r="52" spans="3:9" s="4" customFormat="1" ht="24" customHeight="1">
      <c r="C52" s="8" t="s">
        <v>21</v>
      </c>
      <c r="E52" s="55">
        <v>21</v>
      </c>
      <c r="F52" s="3"/>
      <c r="G52" s="245">
        <f>+'หมายเหตุ 21'!F19</f>
        <v>7690351.800000001</v>
      </c>
      <c r="H52" s="9"/>
      <c r="I52" s="10">
        <f>+'หมายเหตุ 21'!I19</f>
        <v>4993938</v>
      </c>
    </row>
    <row r="53" spans="3:9" s="4" customFormat="1" ht="24" customHeight="1">
      <c r="C53" s="8" t="s">
        <v>22</v>
      </c>
      <c r="E53" s="55">
        <v>22</v>
      </c>
      <c r="F53" s="3"/>
      <c r="G53" s="245">
        <f>I53+813487.55</f>
        <v>8270365.7299999995</v>
      </c>
      <c r="H53" s="9"/>
      <c r="I53" s="10">
        <v>7456878.18</v>
      </c>
    </row>
    <row r="54" spans="3:9" s="4" customFormat="1" ht="24" customHeight="1">
      <c r="C54" s="14" t="s">
        <v>23</v>
      </c>
      <c r="E54" s="55"/>
      <c r="F54" s="3"/>
      <c r="G54" s="247">
        <f>SUM(G52:G53)</f>
        <v>15960717.530000001</v>
      </c>
      <c r="H54" s="9"/>
      <c r="I54" s="247">
        <f>SUM(I52:I53)</f>
        <v>12450816.18</v>
      </c>
    </row>
    <row r="55" spans="1:9" s="4" customFormat="1" ht="24" customHeight="1" thickBot="1">
      <c r="A55" s="14" t="s">
        <v>24</v>
      </c>
      <c r="C55" s="8"/>
      <c r="E55" s="53"/>
      <c r="F55" s="12"/>
      <c r="G55" s="248">
        <f>+G44+G48+G54</f>
        <v>24582997.470000003</v>
      </c>
      <c r="H55" s="13"/>
      <c r="I55" s="248">
        <f>+I44+I48+I54</f>
        <v>20077767.15</v>
      </c>
    </row>
    <row r="56" spans="1:9" s="4" customFormat="1" ht="24" customHeight="1" thickTop="1">
      <c r="A56" s="14"/>
      <c r="C56" s="8"/>
      <c r="E56" s="53"/>
      <c r="F56" s="12"/>
      <c r="G56" s="12"/>
      <c r="H56" s="12"/>
      <c r="I56" s="7"/>
    </row>
    <row r="57" spans="1:5" s="6" customFormat="1" ht="26.25">
      <c r="A57" s="8" t="s">
        <v>186</v>
      </c>
      <c r="B57" s="8"/>
      <c r="C57" s="8"/>
      <c r="D57" s="8"/>
      <c r="E57" s="261"/>
    </row>
    <row r="58" spans="1:5" s="6" customFormat="1" ht="26.25">
      <c r="A58" s="8"/>
      <c r="B58" s="8"/>
      <c r="C58" s="8"/>
      <c r="D58" s="8"/>
      <c r="E58" s="261"/>
    </row>
    <row r="59" spans="1:5" s="6" customFormat="1" ht="26.25">
      <c r="A59" s="8"/>
      <c r="B59" s="8"/>
      <c r="C59" s="8"/>
      <c r="D59" s="8"/>
      <c r="E59" s="261"/>
    </row>
    <row r="60" spans="1:9" s="6" customFormat="1" ht="24.75" customHeight="1">
      <c r="A60" s="8"/>
      <c r="B60" s="437" t="s">
        <v>439</v>
      </c>
      <c r="C60" s="437"/>
      <c r="D60" s="437"/>
      <c r="E60" s="437"/>
      <c r="F60" s="437"/>
      <c r="G60" s="439" t="s">
        <v>437</v>
      </c>
      <c r="H60" s="439"/>
      <c r="I60" s="439"/>
    </row>
    <row r="61" spans="2:9" s="18" customFormat="1" ht="23.25">
      <c r="B61" s="438" t="s">
        <v>440</v>
      </c>
      <c r="C61" s="438"/>
      <c r="D61" s="438"/>
      <c r="E61" s="438"/>
      <c r="F61" s="438"/>
      <c r="G61" s="440" t="s">
        <v>438</v>
      </c>
      <c r="H61" s="440"/>
      <c r="I61" s="440"/>
    </row>
  </sheetData>
  <sheetProtection/>
  <mergeCells count="12">
    <mergeCell ref="A32:I32"/>
    <mergeCell ref="A33:I33"/>
    <mergeCell ref="B60:F60"/>
    <mergeCell ref="B61:F61"/>
    <mergeCell ref="G60:I60"/>
    <mergeCell ref="G61:I61"/>
    <mergeCell ref="A1:I1"/>
    <mergeCell ref="A2:I2"/>
    <mergeCell ref="A3:I3"/>
    <mergeCell ref="A4:I4"/>
    <mergeCell ref="A34:I34"/>
    <mergeCell ref="A31:I31"/>
  </mergeCells>
  <printOptions/>
  <pageMargins left="0.433070866141732" right="0" top="0.748031496062992" bottom="0" header="0.31496062992126" footer="0.31496062992126"/>
  <pageSetup horizontalDpi="300" verticalDpi="300" orientation="portrait" paperSize="9" scale="95" r:id="rId1"/>
  <rowBreaks count="1" manualBreakCount="1">
    <brk id="2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PageLayoutView="0" workbookViewId="0" topLeftCell="A1">
      <selection activeCell="E32" sqref="E32"/>
    </sheetView>
  </sheetViews>
  <sheetFormatPr defaultColWidth="9.140625" defaultRowHeight="15"/>
  <cols>
    <col min="1" max="1" width="11.421875" style="86" customWidth="1"/>
    <col min="2" max="2" width="12.00390625" style="86" customWidth="1"/>
    <col min="3" max="3" width="11.421875" style="86" customWidth="1"/>
    <col min="4" max="4" width="19.8515625" style="86" customWidth="1"/>
    <col min="5" max="5" width="12.421875" style="86" customWidth="1"/>
    <col min="6" max="6" width="10.421875" style="86" customWidth="1"/>
    <col min="7" max="7" width="12.57421875" style="86" customWidth="1"/>
    <col min="8" max="16384" width="9.00390625" style="86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3.25">
      <c r="A2" s="459" t="s">
        <v>65</v>
      </c>
      <c r="B2" s="459"/>
      <c r="C2" s="459"/>
      <c r="D2" s="459"/>
      <c r="E2" s="459"/>
      <c r="F2" s="459"/>
      <c r="G2" s="459"/>
    </row>
    <row r="3" spans="1:7" ht="23.25">
      <c r="A3" s="459" t="s">
        <v>454</v>
      </c>
      <c r="B3" s="459"/>
      <c r="C3" s="459"/>
      <c r="D3" s="459"/>
      <c r="E3" s="459"/>
      <c r="F3" s="459"/>
      <c r="G3" s="459"/>
    </row>
    <row r="4" ht="10.5" customHeight="1"/>
    <row r="5" s="88" customFormat="1" ht="26.25">
      <c r="A5" s="87" t="s">
        <v>229</v>
      </c>
    </row>
    <row r="6" ht="9" customHeight="1">
      <c r="A6" s="89"/>
    </row>
    <row r="7" ht="21.75" customHeight="1">
      <c r="A7" s="60" t="s">
        <v>181</v>
      </c>
    </row>
    <row r="8" spans="1:7" ht="21">
      <c r="A8" s="90" t="s">
        <v>76</v>
      </c>
      <c r="B8" s="90" t="s">
        <v>77</v>
      </c>
      <c r="C8" s="90" t="s">
        <v>78</v>
      </c>
      <c r="D8" s="90" t="s">
        <v>79</v>
      </c>
      <c r="E8" s="90" t="s">
        <v>80</v>
      </c>
      <c r="F8" s="90" t="s">
        <v>81</v>
      </c>
      <c r="G8" s="90" t="s">
        <v>30</v>
      </c>
    </row>
    <row r="9" spans="1:7" ht="22.5" customHeight="1">
      <c r="A9" s="91"/>
      <c r="B9" s="91"/>
      <c r="C9" s="92"/>
      <c r="D9" s="91"/>
      <c r="E9" s="92"/>
      <c r="F9" s="92"/>
      <c r="G9" s="93">
        <v>0</v>
      </c>
    </row>
    <row r="10" spans="1:7" ht="22.5" customHeight="1">
      <c r="A10" s="94"/>
      <c r="B10" s="94"/>
      <c r="C10" s="95"/>
      <c r="D10" s="94"/>
      <c r="E10" s="95"/>
      <c r="F10" s="95"/>
      <c r="G10" s="96">
        <v>0</v>
      </c>
    </row>
    <row r="11" spans="1:7" ht="22.5" customHeight="1">
      <c r="A11" s="97"/>
      <c r="B11" s="97"/>
      <c r="C11" s="98"/>
      <c r="D11" s="97"/>
      <c r="E11" s="98"/>
      <c r="F11" s="98"/>
      <c r="G11" s="99">
        <v>0</v>
      </c>
    </row>
    <row r="12" spans="1:7" ht="21.75" thickBot="1">
      <c r="A12" s="470" t="s">
        <v>68</v>
      </c>
      <c r="B12" s="471"/>
      <c r="C12" s="471"/>
      <c r="D12" s="471"/>
      <c r="E12" s="471"/>
      <c r="F12" s="472"/>
      <c r="G12" s="100">
        <f>SUM(G9:G11)</f>
        <v>0</v>
      </c>
    </row>
    <row r="13" ht="21.75" customHeight="1" thickTop="1">
      <c r="A13" s="60" t="s">
        <v>214</v>
      </c>
    </row>
    <row r="14" spans="1:7" ht="21">
      <c r="A14" s="90" t="s">
        <v>76</v>
      </c>
      <c r="B14" s="90" t="s">
        <v>77</v>
      </c>
      <c r="C14" s="90" t="s">
        <v>78</v>
      </c>
      <c r="D14" s="90" t="s">
        <v>79</v>
      </c>
      <c r="E14" s="90" t="s">
        <v>80</v>
      </c>
      <c r="F14" s="90" t="s">
        <v>81</v>
      </c>
      <c r="G14" s="90" t="s">
        <v>30</v>
      </c>
    </row>
    <row r="15" spans="1:7" ht="22.5" customHeight="1">
      <c r="A15" s="91"/>
      <c r="B15" s="91"/>
      <c r="C15" s="92"/>
      <c r="D15" s="91"/>
      <c r="E15" s="92"/>
      <c r="F15" s="92"/>
      <c r="G15" s="93">
        <v>0</v>
      </c>
    </row>
    <row r="16" spans="1:7" ht="22.5" customHeight="1">
      <c r="A16" s="94"/>
      <c r="B16" s="94"/>
      <c r="C16" s="95"/>
      <c r="D16" s="94"/>
      <c r="E16" s="95"/>
      <c r="F16" s="95"/>
      <c r="G16" s="96">
        <v>0</v>
      </c>
    </row>
    <row r="17" spans="1:7" ht="22.5" customHeight="1">
      <c r="A17" s="97"/>
      <c r="B17" s="97"/>
      <c r="C17" s="98"/>
      <c r="D17" s="97"/>
      <c r="E17" s="98"/>
      <c r="F17" s="98"/>
      <c r="G17" s="99">
        <v>0</v>
      </c>
    </row>
    <row r="18" spans="1:7" ht="21.75" thickBot="1">
      <c r="A18" s="470" t="s">
        <v>68</v>
      </c>
      <c r="B18" s="471"/>
      <c r="C18" s="471"/>
      <c r="D18" s="471"/>
      <c r="E18" s="471"/>
      <c r="F18" s="472"/>
      <c r="G18" s="100">
        <f>SUM(G15:G17)</f>
        <v>0</v>
      </c>
    </row>
    <row r="19" ht="21.75" thickTop="1"/>
    <row r="20" spans="1:7" s="88" customFormat="1" ht="26.25">
      <c r="A20" s="87" t="s">
        <v>230</v>
      </c>
      <c r="E20" s="249">
        <v>2561</v>
      </c>
      <c r="F20" s="249"/>
      <c r="G20" s="249">
        <v>2560</v>
      </c>
    </row>
    <row r="21" spans="1:7" s="88" customFormat="1" ht="26.25">
      <c r="A21" s="87"/>
      <c r="B21" s="311" t="s">
        <v>403</v>
      </c>
      <c r="E21" s="118">
        <v>3678.26</v>
      </c>
      <c r="F21" s="249"/>
      <c r="G21" s="118">
        <v>7522.02</v>
      </c>
    </row>
    <row r="22" spans="1:7" s="88" customFormat="1" ht="26.25">
      <c r="A22" s="87"/>
      <c r="B22" s="311" t="s">
        <v>404</v>
      </c>
      <c r="E22" s="118">
        <v>728850</v>
      </c>
      <c r="F22" s="249"/>
      <c r="G22" s="118">
        <v>1030180</v>
      </c>
    </row>
    <row r="23" spans="1:7" s="88" customFormat="1" ht="26.25">
      <c r="A23" s="87"/>
      <c r="B23" s="311" t="s">
        <v>405</v>
      </c>
      <c r="E23" s="118">
        <v>5022.12</v>
      </c>
      <c r="F23" s="249"/>
      <c r="G23" s="118">
        <v>4972.14</v>
      </c>
    </row>
    <row r="24" spans="1:7" s="88" customFormat="1" ht="26.25">
      <c r="A24" s="87"/>
      <c r="B24" s="311" t="s">
        <v>406</v>
      </c>
      <c r="E24" s="118">
        <v>0</v>
      </c>
      <c r="F24" s="249"/>
      <c r="G24" s="118">
        <v>18000</v>
      </c>
    </row>
    <row r="25" spans="1:7" s="88" customFormat="1" ht="26.25">
      <c r="A25" s="87"/>
      <c r="B25" s="311" t="s">
        <v>406</v>
      </c>
      <c r="E25" s="118">
        <v>0</v>
      </c>
      <c r="F25" s="249"/>
      <c r="G25" s="118">
        <v>65000</v>
      </c>
    </row>
    <row r="26" spans="1:7" s="88" customFormat="1" ht="26.25">
      <c r="A26" s="87"/>
      <c r="B26" s="311" t="s">
        <v>407</v>
      </c>
      <c r="E26" s="118">
        <v>0</v>
      </c>
      <c r="F26" s="249"/>
      <c r="G26" s="118">
        <v>52030</v>
      </c>
    </row>
    <row r="27" spans="2:7" s="59" customFormat="1" ht="23.25">
      <c r="B27" s="311" t="s">
        <v>408</v>
      </c>
      <c r="E27" s="62">
        <v>0</v>
      </c>
      <c r="G27" s="62">
        <v>1028</v>
      </c>
    </row>
    <row r="28" spans="2:7" s="59" customFormat="1" ht="23.25">
      <c r="B28" s="311" t="s">
        <v>409</v>
      </c>
      <c r="E28" s="62">
        <v>0</v>
      </c>
      <c r="G28" s="62">
        <v>339</v>
      </c>
    </row>
    <row r="29" spans="2:7" ht="23.25">
      <c r="B29" s="311" t="s">
        <v>410</v>
      </c>
      <c r="E29" s="62">
        <v>986523.08</v>
      </c>
      <c r="F29" s="59"/>
      <c r="G29" s="62">
        <v>979988.81</v>
      </c>
    </row>
    <row r="30" spans="2:7" ht="24" thickBot="1">
      <c r="B30" s="60" t="s">
        <v>68</v>
      </c>
      <c r="E30" s="65">
        <f>SUM(E21:E29)</f>
        <v>1724073.46</v>
      </c>
      <c r="F30" s="59"/>
      <c r="G30" s="65">
        <f>SUM(G21:G29)</f>
        <v>2159059.97</v>
      </c>
    </row>
    <row r="31" ht="21.75" thickTop="1"/>
    <row r="32" spans="1:7" s="88" customFormat="1" ht="26.25">
      <c r="A32" s="87" t="s">
        <v>231</v>
      </c>
      <c r="E32" s="249">
        <v>2561</v>
      </c>
      <c r="F32" s="249"/>
      <c r="G32" s="249">
        <v>2560</v>
      </c>
    </row>
    <row r="33" spans="2:7" s="59" customFormat="1" ht="23.25">
      <c r="B33" s="59" t="s">
        <v>233</v>
      </c>
      <c r="E33" s="62">
        <v>0</v>
      </c>
      <c r="G33" s="62">
        <v>0</v>
      </c>
    </row>
    <row r="34" spans="2:7" s="59" customFormat="1" ht="23.25">
      <c r="B34" s="59" t="s">
        <v>232</v>
      </c>
      <c r="E34" s="62">
        <v>0</v>
      </c>
      <c r="G34" s="62">
        <v>0</v>
      </c>
    </row>
    <row r="35" spans="2:7" ht="24" thickBot="1">
      <c r="B35" s="60" t="s">
        <v>68</v>
      </c>
      <c r="E35" s="65">
        <f>SUM(E33:E34)</f>
        <v>0</v>
      </c>
      <c r="F35" s="59"/>
      <c r="G35" s="65">
        <f>SUM(G33:G34)</f>
        <v>0</v>
      </c>
    </row>
    <row r="36" ht="21.75" thickTop="1"/>
    <row r="37" ht="54" customHeight="1"/>
    <row r="38" s="59" customFormat="1" ht="23.25"/>
    <row r="39" s="59" customFormat="1" ht="23.25"/>
  </sheetData>
  <sheetProtection/>
  <mergeCells count="5">
    <mergeCell ref="A18:F18"/>
    <mergeCell ref="A1:G1"/>
    <mergeCell ref="A2:G2"/>
    <mergeCell ref="A3:G3"/>
    <mergeCell ref="A12:F12"/>
  </mergeCells>
  <printOptions/>
  <pageMargins left="0.37" right="0.42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5"/>
  <cols>
    <col min="1" max="1" width="11.28125" style="59" customWidth="1"/>
    <col min="2" max="2" width="13.421875" style="59" customWidth="1"/>
    <col min="3" max="3" width="13.57421875" style="59" customWidth="1"/>
    <col min="4" max="4" width="12.421875" style="59" customWidth="1"/>
    <col min="5" max="5" width="14.8515625" style="59" customWidth="1"/>
    <col min="6" max="6" width="11.8515625" style="59" customWidth="1"/>
    <col min="7" max="7" width="14.421875" style="59" customWidth="1"/>
    <col min="8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312"/>
    </row>
    <row r="2" spans="1:7" ht="23.25">
      <c r="A2" s="459" t="s">
        <v>65</v>
      </c>
      <c r="B2" s="459"/>
      <c r="C2" s="459"/>
      <c r="D2" s="459"/>
      <c r="E2" s="459"/>
      <c r="F2" s="459"/>
      <c r="G2" s="459"/>
    </row>
    <row r="3" spans="1:7" ht="23.25">
      <c r="A3" s="459" t="s">
        <v>454</v>
      </c>
      <c r="B3" s="459"/>
      <c r="C3" s="459"/>
      <c r="D3" s="459"/>
      <c r="E3" s="459"/>
      <c r="F3" s="459"/>
      <c r="G3" s="459"/>
    </row>
    <row r="5" ht="23.25">
      <c r="A5" s="60" t="s">
        <v>234</v>
      </c>
    </row>
    <row r="6" spans="1:6" ht="23.25">
      <c r="A6" s="59" t="s">
        <v>181</v>
      </c>
      <c r="B6" s="24"/>
      <c r="F6" s="101"/>
    </row>
    <row r="7" spans="1:7" ht="23.25">
      <c r="A7" s="473" t="s">
        <v>235</v>
      </c>
      <c r="B7" s="476" t="s">
        <v>236</v>
      </c>
      <c r="C7" s="473" t="s">
        <v>237</v>
      </c>
      <c r="D7" s="462" t="s">
        <v>238</v>
      </c>
      <c r="E7" s="462"/>
      <c r="F7" s="477" t="s">
        <v>241</v>
      </c>
      <c r="G7" s="473" t="s">
        <v>242</v>
      </c>
    </row>
    <row r="8" spans="1:7" ht="23.25">
      <c r="A8" s="474"/>
      <c r="B8" s="474"/>
      <c r="C8" s="474"/>
      <c r="D8" s="102" t="s">
        <v>239</v>
      </c>
      <c r="E8" s="102" t="s">
        <v>240</v>
      </c>
      <c r="F8" s="474"/>
      <c r="G8" s="474"/>
    </row>
    <row r="9" spans="1:7" ht="23.25">
      <c r="A9" s="73"/>
      <c r="B9" s="103"/>
      <c r="C9" s="73"/>
      <c r="D9" s="73"/>
      <c r="E9" s="73"/>
      <c r="F9" s="104">
        <v>0</v>
      </c>
      <c r="G9" s="73"/>
    </row>
    <row r="10" spans="1:7" ht="23.25">
      <c r="A10" s="105"/>
      <c r="B10" s="106"/>
      <c r="C10" s="105"/>
      <c r="D10" s="105"/>
      <c r="E10" s="105"/>
      <c r="F10" s="107">
        <v>0</v>
      </c>
      <c r="G10" s="105"/>
    </row>
    <row r="11" spans="1:7" ht="23.25">
      <c r="A11" s="460" t="s">
        <v>68</v>
      </c>
      <c r="B11" s="475"/>
      <c r="C11" s="108">
        <f>SUM(C9:C10)</f>
        <v>0</v>
      </c>
      <c r="D11" s="70"/>
      <c r="E11" s="70"/>
      <c r="F11" s="109">
        <f>SUM(F9:F10)</f>
        <v>0</v>
      </c>
      <c r="G11" s="108"/>
    </row>
    <row r="12" spans="1:6" ht="23.25">
      <c r="A12" s="59" t="s">
        <v>457</v>
      </c>
      <c r="B12" s="24"/>
      <c r="F12" s="101"/>
    </row>
    <row r="13" spans="2:6" ht="23.25">
      <c r="B13" s="24"/>
      <c r="F13" s="101"/>
    </row>
    <row r="14" spans="1:6" ht="23.25">
      <c r="A14" s="59" t="s">
        <v>214</v>
      </c>
      <c r="B14" s="24"/>
      <c r="F14" s="101"/>
    </row>
    <row r="15" spans="1:7" ht="23.25">
      <c r="A15" s="473" t="s">
        <v>235</v>
      </c>
      <c r="B15" s="476" t="s">
        <v>236</v>
      </c>
      <c r="C15" s="473" t="s">
        <v>237</v>
      </c>
      <c r="D15" s="462" t="s">
        <v>238</v>
      </c>
      <c r="E15" s="462"/>
      <c r="F15" s="477" t="s">
        <v>241</v>
      </c>
      <c r="G15" s="473" t="s">
        <v>242</v>
      </c>
    </row>
    <row r="16" spans="1:7" ht="23.25">
      <c r="A16" s="474"/>
      <c r="B16" s="474"/>
      <c r="C16" s="474"/>
      <c r="D16" s="102" t="s">
        <v>239</v>
      </c>
      <c r="E16" s="102" t="s">
        <v>240</v>
      </c>
      <c r="F16" s="474"/>
      <c r="G16" s="474"/>
    </row>
    <row r="17" spans="1:7" ht="23.25">
      <c r="A17" s="73"/>
      <c r="B17" s="103"/>
      <c r="C17" s="73"/>
      <c r="D17" s="73"/>
      <c r="E17" s="73"/>
      <c r="F17" s="104">
        <v>0</v>
      </c>
      <c r="G17" s="73"/>
    </row>
    <row r="18" spans="1:7" ht="23.25">
      <c r="A18" s="105"/>
      <c r="B18" s="106"/>
      <c r="C18" s="105"/>
      <c r="D18" s="105"/>
      <c r="E18" s="105"/>
      <c r="F18" s="107">
        <v>0</v>
      </c>
      <c r="G18" s="105"/>
    </row>
    <row r="19" spans="1:7" ht="23.25">
      <c r="A19" s="460" t="s">
        <v>68</v>
      </c>
      <c r="B19" s="475"/>
      <c r="C19" s="108">
        <f>SUM(C17:C18)</f>
        <v>0</v>
      </c>
      <c r="D19" s="70"/>
      <c r="E19" s="70"/>
      <c r="F19" s="109">
        <f>SUM(F17:F18)</f>
        <v>0</v>
      </c>
      <c r="G19" s="70"/>
    </row>
    <row r="20" spans="1:6" ht="23.25">
      <c r="A20" s="59" t="s">
        <v>441</v>
      </c>
      <c r="B20" s="24"/>
      <c r="F20" s="101"/>
    </row>
    <row r="21" spans="2:6" ht="23.25">
      <c r="B21" s="24"/>
      <c r="E21" s="62"/>
      <c r="F21" s="101"/>
    </row>
    <row r="22" spans="1:7" ht="23.25">
      <c r="A22" s="60" t="s">
        <v>243</v>
      </c>
      <c r="E22" s="61">
        <v>2561</v>
      </c>
      <c r="F22" s="61"/>
      <c r="G22" s="61">
        <v>2560</v>
      </c>
    </row>
    <row r="23" spans="2:7" ht="23.25">
      <c r="B23" s="59" t="s">
        <v>244</v>
      </c>
      <c r="E23" s="62">
        <v>0</v>
      </c>
      <c r="G23" s="62">
        <v>0</v>
      </c>
    </row>
    <row r="24" spans="2:7" ht="23.25">
      <c r="B24" s="59" t="s">
        <v>245</v>
      </c>
      <c r="E24" s="62">
        <v>0</v>
      </c>
      <c r="G24" s="62">
        <v>0</v>
      </c>
    </row>
    <row r="25" spans="2:7" ht="24" thickBot="1">
      <c r="B25" s="60" t="s">
        <v>68</v>
      </c>
      <c r="E25" s="65">
        <f>SUM(E23:E24)</f>
        <v>0</v>
      </c>
      <c r="G25" s="65">
        <f>SUM(G23:G24)</f>
        <v>0</v>
      </c>
    </row>
    <row r="26" ht="24" thickTop="1"/>
  </sheetData>
  <sheetProtection/>
  <mergeCells count="17">
    <mergeCell ref="A1:G1"/>
    <mergeCell ref="A3:G3"/>
    <mergeCell ref="D7:E7"/>
    <mergeCell ref="A7:A8"/>
    <mergeCell ref="B7:B8"/>
    <mergeCell ref="C7:C8"/>
    <mergeCell ref="F7:F8"/>
    <mergeCell ref="G7:G8"/>
    <mergeCell ref="A2:G2"/>
    <mergeCell ref="G15:G16"/>
    <mergeCell ref="A19:B19"/>
    <mergeCell ref="A11:B11"/>
    <mergeCell ref="A15:A16"/>
    <mergeCell ref="B15:B16"/>
    <mergeCell ref="C15:C16"/>
    <mergeCell ref="D15:E15"/>
    <mergeCell ref="F15:F16"/>
  </mergeCells>
  <printOptions horizontalCentered="1"/>
  <pageMargins left="0.31496062992125984" right="0" top="0.7480314960629921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5"/>
  <cols>
    <col min="1" max="1" width="1.1484375" style="59" customWidth="1"/>
    <col min="2" max="2" width="4.421875" style="59" customWidth="1"/>
    <col min="3" max="3" width="41.421875" style="59" bestFit="1" customWidth="1"/>
    <col min="4" max="5" width="9.7109375" style="59" bestFit="1" customWidth="1"/>
    <col min="6" max="6" width="11.140625" style="59" bestFit="1" customWidth="1"/>
    <col min="7" max="7" width="9.7109375" style="59" bestFit="1" customWidth="1"/>
    <col min="8" max="8" width="11.140625" style="59" bestFit="1" customWidth="1"/>
    <col min="9" max="9" width="9.7109375" style="59" bestFit="1" customWidth="1"/>
    <col min="10" max="16384" width="9.00390625" style="59" customWidth="1"/>
  </cols>
  <sheetData>
    <row r="1" spans="1:9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</row>
    <row r="2" spans="1:9" ht="23.25">
      <c r="A2" s="459" t="s">
        <v>65</v>
      </c>
      <c r="B2" s="459"/>
      <c r="C2" s="459"/>
      <c r="D2" s="459"/>
      <c r="E2" s="459"/>
      <c r="F2" s="459"/>
      <c r="G2" s="459"/>
      <c r="H2" s="459"/>
      <c r="I2" s="459"/>
    </row>
    <row r="3" spans="1:9" ht="23.25">
      <c r="A3" s="459" t="s">
        <v>454</v>
      </c>
      <c r="B3" s="459"/>
      <c r="C3" s="459"/>
      <c r="D3" s="459"/>
      <c r="E3" s="459"/>
      <c r="F3" s="459"/>
      <c r="G3" s="459"/>
      <c r="H3" s="459"/>
      <c r="I3" s="459"/>
    </row>
    <row r="5" ht="23.25">
      <c r="A5" s="60" t="s">
        <v>257</v>
      </c>
    </row>
    <row r="6" spans="1:9" ht="23.25">
      <c r="A6" s="327"/>
      <c r="B6" s="327"/>
      <c r="C6" s="327"/>
      <c r="D6" s="480">
        <v>2561</v>
      </c>
      <c r="E6" s="480"/>
      <c r="F6" s="480"/>
      <c r="G6" s="481">
        <v>2560</v>
      </c>
      <c r="H6" s="481"/>
      <c r="I6" s="481"/>
    </row>
    <row r="7" spans="1:9" ht="23.25">
      <c r="A7" s="328"/>
      <c r="B7" s="478" t="s">
        <v>246</v>
      </c>
      <c r="C7" s="479"/>
      <c r="D7" s="329"/>
      <c r="E7" s="330"/>
      <c r="F7" s="331">
        <f>I19</f>
        <v>4993938</v>
      </c>
      <c r="G7" s="329"/>
      <c r="H7" s="330"/>
      <c r="I7" s="331">
        <v>8349546.09</v>
      </c>
    </row>
    <row r="8" spans="1:9" ht="23.25">
      <c r="A8" s="332"/>
      <c r="B8" s="333"/>
      <c r="C8" s="326" t="s">
        <v>82</v>
      </c>
      <c r="D8" s="334">
        <v>3253950.2</v>
      </c>
      <c r="E8" s="335"/>
      <c r="F8" s="336"/>
      <c r="G8" s="334">
        <v>1946318.98</v>
      </c>
      <c r="H8" s="335"/>
      <c r="I8" s="336"/>
    </row>
    <row r="9" spans="1:9" ht="23.25">
      <c r="A9" s="332"/>
      <c r="B9" s="337"/>
      <c r="C9" s="338" t="s">
        <v>436</v>
      </c>
      <c r="D9" s="339">
        <f>-D8*25/100</f>
        <v>-813487.55</v>
      </c>
      <c r="E9" s="340"/>
      <c r="F9" s="336"/>
      <c r="G9" s="341">
        <v>-486579.75</v>
      </c>
      <c r="H9" s="86"/>
      <c r="I9" s="336"/>
    </row>
    <row r="10" spans="1:9" ht="23.25">
      <c r="A10" s="332"/>
      <c r="B10" s="337"/>
      <c r="C10" s="326" t="s">
        <v>247</v>
      </c>
      <c r="D10" s="342"/>
      <c r="E10" s="340"/>
      <c r="F10" s="336"/>
      <c r="G10" s="86"/>
      <c r="H10" s="86"/>
      <c r="I10" s="336"/>
    </row>
    <row r="11" spans="1:9" ht="23.25">
      <c r="A11" s="332"/>
      <c r="B11" s="337" t="s">
        <v>83</v>
      </c>
      <c r="C11" s="326" t="s">
        <v>84</v>
      </c>
      <c r="D11" s="343"/>
      <c r="E11" s="344">
        <f>SUM(D8:D9)</f>
        <v>2440462.6500000004</v>
      </c>
      <c r="F11" s="336"/>
      <c r="G11" s="343"/>
      <c r="H11" s="344">
        <f>SUM(G8:G9)</f>
        <v>1459739.23</v>
      </c>
      <c r="I11" s="336"/>
    </row>
    <row r="12" spans="1:9" ht="23.25">
      <c r="A12" s="332"/>
      <c r="B12" s="337"/>
      <c r="C12" s="326" t="s">
        <v>14</v>
      </c>
      <c r="D12" s="343"/>
      <c r="E12" s="344">
        <v>144954.16</v>
      </c>
      <c r="F12" s="336"/>
      <c r="G12" s="343"/>
      <c r="H12" s="344">
        <v>39452.68</v>
      </c>
      <c r="I12" s="336"/>
    </row>
    <row r="13" spans="1:9" ht="23.25">
      <c r="A13" s="332"/>
      <c r="B13" s="337"/>
      <c r="C13" s="326" t="s">
        <v>442</v>
      </c>
      <c r="D13" s="343"/>
      <c r="E13" s="344">
        <v>467.99</v>
      </c>
      <c r="F13" s="336"/>
      <c r="G13" s="343"/>
      <c r="H13" s="344"/>
      <c r="I13" s="336"/>
    </row>
    <row r="14" spans="1:9" ht="23.25">
      <c r="A14" s="332"/>
      <c r="B14" s="337"/>
      <c r="C14" s="326" t="s">
        <v>443</v>
      </c>
      <c r="D14" s="343"/>
      <c r="E14" s="344">
        <v>19500</v>
      </c>
      <c r="F14" s="336"/>
      <c r="G14" s="343"/>
      <c r="H14" s="344"/>
      <c r="I14" s="336"/>
    </row>
    <row r="15" spans="1:9" ht="23.25">
      <c r="A15" s="332"/>
      <c r="B15" s="337"/>
      <c r="C15" s="326" t="s">
        <v>444</v>
      </c>
      <c r="D15" s="343"/>
      <c r="E15" s="344">
        <v>38660</v>
      </c>
      <c r="F15" s="336"/>
      <c r="G15" s="343"/>
      <c r="H15" s="344"/>
      <c r="I15" s="336"/>
    </row>
    <row r="16" spans="1:9" ht="23.25">
      <c r="A16" s="332"/>
      <c r="B16" s="345"/>
      <c r="C16" s="326" t="s">
        <v>434</v>
      </c>
      <c r="D16" s="343"/>
      <c r="E16" s="344">
        <v>52030</v>
      </c>
      <c r="F16" s="336"/>
      <c r="G16" s="343"/>
      <c r="H16" s="344">
        <v>0</v>
      </c>
      <c r="I16" s="336"/>
    </row>
    <row r="17" spans="1:9" ht="23.25">
      <c r="A17" s="332"/>
      <c r="B17" s="345"/>
      <c r="C17" s="326" t="s">
        <v>435</v>
      </c>
      <c r="D17" s="343"/>
      <c r="E17" s="344">
        <v>339</v>
      </c>
      <c r="F17" s="336"/>
      <c r="G17" s="343"/>
      <c r="H17" s="344">
        <v>0</v>
      </c>
      <c r="I17" s="336"/>
    </row>
    <row r="18" spans="1:9" ht="23.25">
      <c r="A18" s="332"/>
      <c r="B18" s="337" t="s">
        <v>85</v>
      </c>
      <c r="C18" s="326" t="s">
        <v>86</v>
      </c>
      <c r="D18" s="339"/>
      <c r="E18" s="346">
        <v>0</v>
      </c>
      <c r="F18" s="347">
        <f>SUM(E11:E17)</f>
        <v>2696413.8000000007</v>
      </c>
      <c r="G18" s="339"/>
      <c r="H18" s="346">
        <v>-4854800</v>
      </c>
      <c r="I18" s="347">
        <f>SUM(H11:H18)</f>
        <v>-3355608.09</v>
      </c>
    </row>
    <row r="19" spans="1:9" ht="23.25">
      <c r="A19" s="348"/>
      <c r="B19" s="349" t="s">
        <v>248</v>
      </c>
      <c r="C19" s="350"/>
      <c r="D19" s="351"/>
      <c r="E19" s="352"/>
      <c r="F19" s="353">
        <f>SUM(F7+F18)</f>
        <v>7690351.800000001</v>
      </c>
      <c r="G19" s="351"/>
      <c r="H19" s="352"/>
      <c r="I19" s="353">
        <f>SUM(I7:I18)</f>
        <v>4993938</v>
      </c>
    </row>
    <row r="20" spans="1:6" ht="23.25">
      <c r="A20" s="110"/>
      <c r="B20" s="110"/>
      <c r="C20" s="110"/>
      <c r="D20" s="111"/>
      <c r="E20" s="111"/>
      <c r="F20" s="111"/>
    </row>
    <row r="21" spans="1:8" ht="23.25">
      <c r="A21" s="110"/>
      <c r="B21" s="112" t="s">
        <v>249</v>
      </c>
      <c r="C21" s="113"/>
      <c r="D21" s="111"/>
      <c r="E21" s="111"/>
      <c r="F21" s="114">
        <v>2561</v>
      </c>
      <c r="G21" s="64"/>
      <c r="H21" s="61">
        <v>2560</v>
      </c>
    </row>
    <row r="22" spans="1:8" ht="23.25">
      <c r="A22" s="110"/>
      <c r="B22" s="110"/>
      <c r="C22" s="115" t="s">
        <v>251</v>
      </c>
      <c r="D22" s="111"/>
      <c r="E22" s="111"/>
      <c r="F22" s="354">
        <v>0</v>
      </c>
      <c r="H22" s="62">
        <v>0</v>
      </c>
    </row>
    <row r="23" spans="1:8" ht="23.25">
      <c r="A23" s="110"/>
      <c r="B23" s="110"/>
      <c r="C23" s="115" t="s">
        <v>250</v>
      </c>
      <c r="D23" s="110"/>
      <c r="E23" s="111"/>
      <c r="F23" s="354">
        <v>0</v>
      </c>
      <c r="H23" s="62">
        <v>0</v>
      </c>
    </row>
    <row r="24" spans="1:8" ht="23.25">
      <c r="A24" s="110"/>
      <c r="B24" s="110"/>
      <c r="C24" s="115" t="s">
        <v>252</v>
      </c>
      <c r="D24" s="110"/>
      <c r="E24" s="111"/>
      <c r="F24" s="354">
        <v>0</v>
      </c>
      <c r="H24" s="62">
        <v>0</v>
      </c>
    </row>
    <row r="25" spans="1:8" ht="23.25">
      <c r="A25" s="110"/>
      <c r="B25" s="110"/>
      <c r="C25" s="115" t="s">
        <v>87</v>
      </c>
      <c r="D25" s="110"/>
      <c r="E25" s="111"/>
      <c r="F25" s="354">
        <v>0</v>
      </c>
      <c r="H25" s="62">
        <v>0</v>
      </c>
    </row>
    <row r="26" spans="1:8" ht="23.25">
      <c r="A26" s="110"/>
      <c r="B26" s="110"/>
      <c r="C26" s="115" t="s">
        <v>253</v>
      </c>
      <c r="D26" s="110"/>
      <c r="E26" s="111"/>
      <c r="F26" s="354">
        <v>0</v>
      </c>
      <c r="H26" s="62">
        <v>0</v>
      </c>
    </row>
    <row r="27" spans="1:6" ht="23.25">
      <c r="A27" s="110"/>
      <c r="B27" s="110"/>
      <c r="C27" s="115" t="s">
        <v>254</v>
      </c>
      <c r="D27" s="110"/>
      <c r="E27" s="111"/>
      <c r="F27" s="354"/>
    </row>
    <row r="28" spans="1:8" ht="23.25">
      <c r="A28" s="110"/>
      <c r="B28" s="110"/>
      <c r="C28" s="115" t="s">
        <v>88</v>
      </c>
      <c r="D28" s="111"/>
      <c r="E28" s="111"/>
      <c r="F28" s="355">
        <f>F19</f>
        <v>7690351.800000001</v>
      </c>
      <c r="H28" s="62">
        <f>I19</f>
        <v>4993938</v>
      </c>
    </row>
    <row r="29" spans="1:8" ht="24" thickBot="1">
      <c r="A29" s="110"/>
      <c r="B29" s="110"/>
      <c r="C29" s="110"/>
      <c r="D29" s="111"/>
      <c r="E29" s="116" t="s">
        <v>68</v>
      </c>
      <c r="F29" s="117">
        <f>SUM(F22:F28)</f>
        <v>7690351.800000001</v>
      </c>
      <c r="G29" s="118"/>
      <c r="H29" s="117">
        <f>SUM(H22:H28)</f>
        <v>4993938</v>
      </c>
    </row>
    <row r="30" spans="1:8" ht="24" thickTop="1">
      <c r="A30" s="110"/>
      <c r="B30" s="110"/>
      <c r="C30" s="110"/>
      <c r="D30" s="111"/>
      <c r="E30" s="116"/>
      <c r="F30" s="119"/>
      <c r="G30" s="64"/>
      <c r="H30" s="119"/>
    </row>
    <row r="31" spans="6:8" ht="23.25">
      <c r="F31" s="114">
        <v>2561</v>
      </c>
      <c r="G31" s="64"/>
      <c r="H31" s="61">
        <v>2560</v>
      </c>
    </row>
    <row r="32" spans="1:8" ht="23.25">
      <c r="A32" s="60"/>
      <c r="B32" s="60" t="s">
        <v>255</v>
      </c>
      <c r="F32" s="62">
        <v>0</v>
      </c>
      <c r="G32" s="62"/>
      <c r="H32" s="62">
        <v>0</v>
      </c>
    </row>
    <row r="33" spans="1:2" ht="23.25">
      <c r="A33" s="120"/>
      <c r="B33" s="120" t="s">
        <v>256</v>
      </c>
    </row>
  </sheetData>
  <sheetProtection/>
  <mergeCells count="6">
    <mergeCell ref="B7:C7"/>
    <mergeCell ref="D6:F6"/>
    <mergeCell ref="G6:I6"/>
    <mergeCell ref="A1:I1"/>
    <mergeCell ref="A2:I2"/>
    <mergeCell ref="A3:I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140625" defaultRowHeight="15"/>
  <cols>
    <col min="1" max="1" width="15.8515625" style="59" customWidth="1"/>
    <col min="2" max="2" width="16.421875" style="59" customWidth="1"/>
    <col min="3" max="3" width="44.00390625" style="59" customWidth="1"/>
    <col min="4" max="4" width="11.421875" style="59" customWidth="1"/>
    <col min="5" max="5" width="11.57421875" style="59" customWidth="1"/>
    <col min="6" max="6" width="11.421875" style="59" customWidth="1"/>
    <col min="7" max="7" width="9.7109375" style="59" customWidth="1"/>
    <col min="8" max="8" width="11.421875" style="59" customWidth="1"/>
    <col min="9" max="9" width="9.00390625" style="59" customWidth="1"/>
    <col min="10" max="10" width="10.8515625" style="59" bestFit="1" customWidth="1"/>
    <col min="11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65</v>
      </c>
      <c r="B2" s="459"/>
      <c r="C2" s="459"/>
      <c r="D2" s="459"/>
      <c r="E2" s="459"/>
      <c r="F2" s="459"/>
      <c r="G2" s="459"/>
      <c r="H2" s="459"/>
    </row>
    <row r="3" spans="1:8" ht="23.25">
      <c r="A3" s="459" t="s">
        <v>455</v>
      </c>
      <c r="B3" s="459"/>
      <c r="C3" s="459"/>
      <c r="D3" s="459"/>
      <c r="E3" s="459"/>
      <c r="F3" s="459"/>
      <c r="G3" s="459"/>
      <c r="H3" s="459"/>
    </row>
    <row r="4" ht="23.25">
      <c r="A4" s="60" t="s">
        <v>258</v>
      </c>
    </row>
    <row r="5" ht="23.25">
      <c r="A5" s="59" t="s">
        <v>181</v>
      </c>
    </row>
    <row r="6" spans="1:8" s="61" customFormat="1" ht="42" customHeight="1">
      <c r="A6" s="121" t="s">
        <v>79</v>
      </c>
      <c r="B6" s="121" t="s">
        <v>80</v>
      </c>
      <c r="C6" s="121" t="s">
        <v>81</v>
      </c>
      <c r="D6" s="122" t="s">
        <v>89</v>
      </c>
      <c r="E6" s="123" t="s">
        <v>90</v>
      </c>
      <c r="F6" s="121" t="s">
        <v>91</v>
      </c>
      <c r="G6" s="121" t="s">
        <v>92</v>
      </c>
      <c r="H6" s="122" t="s">
        <v>431</v>
      </c>
    </row>
    <row r="7" spans="1:8" s="126" customFormat="1" ht="21" customHeight="1">
      <c r="A7" s="324" t="s">
        <v>343</v>
      </c>
      <c r="B7" s="324" t="s">
        <v>343</v>
      </c>
      <c r="C7" s="325" t="s">
        <v>343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</row>
    <row r="8" spans="1:8" ht="23.25">
      <c r="A8" s="127"/>
      <c r="B8" s="127"/>
      <c r="C8" s="128"/>
      <c r="D8" s="129"/>
      <c r="E8" s="129"/>
      <c r="F8" s="129"/>
      <c r="G8" s="129"/>
      <c r="H8" s="129"/>
    </row>
    <row r="9" spans="1:8" ht="23.25">
      <c r="A9" s="130"/>
      <c r="B9" s="130"/>
      <c r="C9" s="131"/>
      <c r="D9" s="132"/>
      <c r="E9" s="132"/>
      <c r="F9" s="132"/>
      <c r="G9" s="132"/>
      <c r="H9" s="132"/>
    </row>
    <row r="10" spans="1:8" ht="24" thickBot="1">
      <c r="A10" s="482" t="s">
        <v>68</v>
      </c>
      <c r="B10" s="482"/>
      <c r="C10" s="482"/>
      <c r="D10" s="133">
        <f>SUM(D8:D9)</f>
        <v>0</v>
      </c>
      <c r="E10" s="133">
        <f>SUM(E8:E9)</f>
        <v>0</v>
      </c>
      <c r="F10" s="133">
        <f>SUM(F7:F9)</f>
        <v>0</v>
      </c>
      <c r="G10" s="133">
        <f>SUM(G8:G9)</f>
        <v>0</v>
      </c>
      <c r="H10" s="133">
        <f>SUM(H8:H9)</f>
        <v>0</v>
      </c>
    </row>
    <row r="11" spans="1:8" ht="24" thickTop="1">
      <c r="A11" s="322"/>
      <c r="B11" s="322"/>
      <c r="C11" s="322"/>
      <c r="D11" s="323"/>
      <c r="E11" s="323"/>
      <c r="F11" s="323"/>
      <c r="G11" s="323"/>
      <c r="H11" s="323"/>
    </row>
    <row r="12" spans="1:8" ht="23.25">
      <c r="A12" s="322"/>
      <c r="B12" s="322"/>
      <c r="C12" s="322"/>
      <c r="D12" s="323"/>
      <c r="E12" s="323"/>
      <c r="F12" s="323"/>
      <c r="G12" s="323"/>
      <c r="H12" s="323"/>
    </row>
    <row r="13" spans="1:8" ht="23.25">
      <c r="A13" s="322"/>
      <c r="B13" s="322"/>
      <c r="C13" s="322"/>
      <c r="D13" s="323"/>
      <c r="E13" s="323"/>
      <c r="F13" s="323"/>
      <c r="G13" s="323"/>
      <c r="H13" s="323"/>
    </row>
    <row r="14" spans="1:8" ht="23.25">
      <c r="A14" s="322"/>
      <c r="B14" s="322"/>
      <c r="C14" s="322"/>
      <c r="D14" s="323"/>
      <c r="E14" s="323"/>
      <c r="F14" s="323"/>
      <c r="G14" s="323"/>
      <c r="H14" s="323"/>
    </row>
    <row r="15" spans="1:8" ht="23.25">
      <c r="A15" s="322"/>
      <c r="B15" s="322"/>
      <c r="C15" s="322"/>
      <c r="D15" s="323"/>
      <c r="E15" s="323"/>
      <c r="F15" s="323"/>
      <c r="G15" s="323"/>
      <c r="H15" s="323"/>
    </row>
    <row r="16" spans="1:8" ht="23.25">
      <c r="A16" s="322"/>
      <c r="B16" s="322"/>
      <c r="C16" s="322"/>
      <c r="D16" s="323"/>
      <c r="E16" s="323"/>
      <c r="F16" s="323"/>
      <c r="G16" s="323"/>
      <c r="H16" s="323"/>
    </row>
    <row r="17" spans="1:8" ht="23.25">
      <c r="A17" s="322"/>
      <c r="B17" s="322"/>
      <c r="C17" s="322"/>
      <c r="D17" s="323"/>
      <c r="E17" s="323"/>
      <c r="F17" s="323"/>
      <c r="G17" s="323"/>
      <c r="H17" s="323"/>
    </row>
    <row r="18" spans="1:8" ht="23.25">
      <c r="A18" s="322"/>
      <c r="B18" s="322"/>
      <c r="C18" s="322"/>
      <c r="D18" s="323"/>
      <c r="E18" s="323"/>
      <c r="F18" s="323"/>
      <c r="G18" s="323"/>
      <c r="H18" s="323"/>
    </row>
    <row r="19" spans="1:8" ht="23.25">
      <c r="A19" s="322"/>
      <c r="B19" s="322"/>
      <c r="C19" s="322"/>
      <c r="D19" s="323"/>
      <c r="E19" s="323"/>
      <c r="F19" s="323"/>
      <c r="G19" s="323"/>
      <c r="H19" s="323"/>
    </row>
    <row r="20" spans="1:8" ht="23.25">
      <c r="A20" s="322"/>
      <c r="B20" s="322"/>
      <c r="C20" s="322"/>
      <c r="D20" s="323"/>
      <c r="E20" s="323"/>
      <c r="F20" s="323"/>
      <c r="G20" s="323"/>
      <c r="H20" s="323"/>
    </row>
    <row r="21" spans="1:8" ht="23.25">
      <c r="A21" s="322"/>
      <c r="B21" s="322"/>
      <c r="C21" s="322"/>
      <c r="D21" s="323"/>
      <c r="E21" s="323"/>
      <c r="F21" s="323"/>
      <c r="G21" s="323"/>
      <c r="H21" s="323"/>
    </row>
    <row r="22" ht="9.75" customHeight="1">
      <c r="J22" s="134"/>
    </row>
    <row r="23" ht="20.25" customHeight="1">
      <c r="A23" s="59" t="s">
        <v>214</v>
      </c>
    </row>
    <row r="24" spans="1:8" s="61" customFormat="1" ht="42" customHeight="1">
      <c r="A24" s="121" t="s">
        <v>79</v>
      </c>
      <c r="B24" s="121" t="s">
        <v>80</v>
      </c>
      <c r="C24" s="121" t="s">
        <v>81</v>
      </c>
      <c r="D24" s="122" t="s">
        <v>89</v>
      </c>
      <c r="E24" s="123" t="s">
        <v>90</v>
      </c>
      <c r="F24" s="121" t="s">
        <v>91</v>
      </c>
      <c r="G24" s="121" t="s">
        <v>92</v>
      </c>
      <c r="H24" s="122" t="s">
        <v>431</v>
      </c>
    </row>
    <row r="25" spans="1:8" s="318" customFormat="1" ht="18.75">
      <c r="A25" s="313" t="s">
        <v>50</v>
      </c>
      <c r="B25" s="314" t="s">
        <v>411</v>
      </c>
      <c r="C25" s="315" t="s">
        <v>412</v>
      </c>
      <c r="D25" s="316">
        <v>200100</v>
      </c>
      <c r="E25" s="316">
        <v>199000</v>
      </c>
      <c r="F25" s="316">
        <v>199000</v>
      </c>
      <c r="G25" s="317">
        <f aca="true" t="shared" si="0" ref="G25:G44">SUM(D25-F25)</f>
        <v>1100</v>
      </c>
      <c r="H25" s="317">
        <v>0</v>
      </c>
    </row>
    <row r="26" spans="1:8" s="318" customFormat="1" ht="18.75">
      <c r="A26" s="313" t="s">
        <v>50</v>
      </c>
      <c r="B26" s="314" t="s">
        <v>411</v>
      </c>
      <c r="C26" s="315" t="s">
        <v>413</v>
      </c>
      <c r="D26" s="316">
        <v>201900</v>
      </c>
      <c r="E26" s="316">
        <v>200000</v>
      </c>
      <c r="F26" s="316">
        <v>200000</v>
      </c>
      <c r="G26" s="317">
        <f t="shared" si="0"/>
        <v>1900</v>
      </c>
      <c r="H26" s="317">
        <v>0</v>
      </c>
    </row>
    <row r="27" spans="1:8" s="318" customFormat="1" ht="18.75">
      <c r="A27" s="313" t="s">
        <v>50</v>
      </c>
      <c r="B27" s="314" t="s">
        <v>411</v>
      </c>
      <c r="C27" s="319" t="s">
        <v>414</v>
      </c>
      <c r="D27" s="316">
        <v>277600</v>
      </c>
      <c r="E27" s="316">
        <v>276000</v>
      </c>
      <c r="F27" s="316">
        <v>276000</v>
      </c>
      <c r="G27" s="317">
        <f t="shared" si="0"/>
        <v>1600</v>
      </c>
      <c r="H27" s="317">
        <v>0</v>
      </c>
    </row>
    <row r="28" spans="1:8" s="318" customFormat="1" ht="18.75">
      <c r="A28" s="313" t="s">
        <v>50</v>
      </c>
      <c r="B28" s="314" t="s">
        <v>411</v>
      </c>
      <c r="C28" s="319" t="s">
        <v>415</v>
      </c>
      <c r="D28" s="316">
        <v>200800</v>
      </c>
      <c r="E28" s="316">
        <v>200000</v>
      </c>
      <c r="F28" s="316">
        <v>200000</v>
      </c>
      <c r="G28" s="317">
        <f t="shared" si="0"/>
        <v>800</v>
      </c>
      <c r="H28" s="316">
        <v>0</v>
      </c>
    </row>
    <row r="29" spans="1:8" s="318" customFormat="1" ht="18.75">
      <c r="A29" s="313" t="s">
        <v>50</v>
      </c>
      <c r="B29" s="314" t="s">
        <v>411</v>
      </c>
      <c r="C29" s="319" t="s">
        <v>416</v>
      </c>
      <c r="D29" s="316">
        <v>200000</v>
      </c>
      <c r="E29" s="316">
        <v>199000</v>
      </c>
      <c r="F29" s="316">
        <v>199000</v>
      </c>
      <c r="G29" s="317">
        <f t="shared" si="0"/>
        <v>1000</v>
      </c>
      <c r="H29" s="316">
        <v>0</v>
      </c>
    </row>
    <row r="30" spans="1:8" s="318" customFormat="1" ht="18.75">
      <c r="A30" s="313" t="s">
        <v>50</v>
      </c>
      <c r="B30" s="314" t="s">
        <v>411</v>
      </c>
      <c r="C30" s="319" t="s">
        <v>417</v>
      </c>
      <c r="D30" s="316">
        <v>203900</v>
      </c>
      <c r="E30" s="316">
        <v>203900</v>
      </c>
      <c r="F30" s="316">
        <v>203900</v>
      </c>
      <c r="G30" s="317">
        <f t="shared" si="0"/>
        <v>0</v>
      </c>
      <c r="H30" s="316">
        <v>0</v>
      </c>
    </row>
    <row r="31" spans="1:8" s="318" customFormat="1" ht="18.75">
      <c r="A31" s="313" t="s">
        <v>50</v>
      </c>
      <c r="B31" s="314" t="s">
        <v>411</v>
      </c>
      <c r="C31" s="319" t="s">
        <v>418</v>
      </c>
      <c r="D31" s="316">
        <v>200400</v>
      </c>
      <c r="E31" s="316">
        <v>200400</v>
      </c>
      <c r="F31" s="316">
        <v>200400</v>
      </c>
      <c r="G31" s="317">
        <f t="shared" si="0"/>
        <v>0</v>
      </c>
      <c r="H31" s="316">
        <v>0</v>
      </c>
    </row>
    <row r="32" spans="1:8" s="318" customFormat="1" ht="18.75">
      <c r="A32" s="313" t="s">
        <v>50</v>
      </c>
      <c r="B32" s="314" t="s">
        <v>411</v>
      </c>
      <c r="C32" s="319" t="s">
        <v>419</v>
      </c>
      <c r="D32" s="316">
        <v>203500</v>
      </c>
      <c r="E32" s="316">
        <v>203500</v>
      </c>
      <c r="F32" s="316">
        <v>203500</v>
      </c>
      <c r="G32" s="317">
        <f t="shared" si="0"/>
        <v>0</v>
      </c>
      <c r="H32" s="316"/>
    </row>
    <row r="33" spans="1:8" s="318" customFormat="1" ht="18.75">
      <c r="A33" s="313" t="s">
        <v>50</v>
      </c>
      <c r="B33" s="314" t="s">
        <v>411</v>
      </c>
      <c r="C33" s="319" t="s">
        <v>420</v>
      </c>
      <c r="D33" s="316">
        <v>200600</v>
      </c>
      <c r="E33" s="316">
        <v>200000</v>
      </c>
      <c r="F33" s="316">
        <v>200000</v>
      </c>
      <c r="G33" s="317">
        <f t="shared" si="0"/>
        <v>600</v>
      </c>
      <c r="H33" s="316">
        <v>0</v>
      </c>
    </row>
    <row r="34" spans="1:8" s="318" customFormat="1" ht="18.75">
      <c r="A34" s="313" t="s">
        <v>50</v>
      </c>
      <c r="B34" s="314" t="s">
        <v>411</v>
      </c>
      <c r="C34" s="319" t="s">
        <v>421</v>
      </c>
      <c r="D34" s="316">
        <v>499400</v>
      </c>
      <c r="E34" s="316">
        <v>498000</v>
      </c>
      <c r="F34" s="316">
        <v>498000</v>
      </c>
      <c r="G34" s="317">
        <f t="shared" si="0"/>
        <v>1400</v>
      </c>
      <c r="H34" s="316">
        <v>0</v>
      </c>
    </row>
    <row r="35" spans="1:8" s="318" customFormat="1" ht="18.75">
      <c r="A35" s="313"/>
      <c r="B35" s="314"/>
      <c r="C35" s="319" t="s">
        <v>422</v>
      </c>
      <c r="D35" s="316"/>
      <c r="E35" s="316"/>
      <c r="F35" s="316"/>
      <c r="G35" s="317"/>
      <c r="H35" s="316"/>
    </row>
    <row r="36" spans="1:8" s="318" customFormat="1" ht="18.75">
      <c r="A36" s="313" t="s">
        <v>50</v>
      </c>
      <c r="B36" s="314" t="s">
        <v>411</v>
      </c>
      <c r="C36" s="319" t="s">
        <v>423</v>
      </c>
      <c r="D36" s="316">
        <v>494700</v>
      </c>
      <c r="E36" s="316">
        <v>493000</v>
      </c>
      <c r="F36" s="316">
        <v>493000</v>
      </c>
      <c r="G36" s="317">
        <f t="shared" si="0"/>
        <v>1700</v>
      </c>
      <c r="H36" s="316">
        <v>0</v>
      </c>
    </row>
    <row r="37" spans="1:8" s="318" customFormat="1" ht="18.75">
      <c r="A37" s="313"/>
      <c r="B37" s="314"/>
      <c r="C37" s="319" t="s">
        <v>424</v>
      </c>
      <c r="D37" s="316"/>
      <c r="E37" s="316"/>
      <c r="F37" s="316"/>
      <c r="G37" s="317">
        <f t="shared" si="0"/>
        <v>0</v>
      </c>
      <c r="H37" s="316"/>
    </row>
    <row r="38" spans="1:8" s="318" customFormat="1" ht="18.75">
      <c r="A38" s="313" t="s">
        <v>50</v>
      </c>
      <c r="B38" s="314" t="s">
        <v>411</v>
      </c>
      <c r="C38" s="319" t="s">
        <v>425</v>
      </c>
      <c r="D38" s="316">
        <v>499400</v>
      </c>
      <c r="E38" s="316">
        <v>499000</v>
      </c>
      <c r="F38" s="316">
        <v>499000</v>
      </c>
      <c r="G38" s="317">
        <f t="shared" si="0"/>
        <v>400</v>
      </c>
      <c r="H38" s="316">
        <v>0</v>
      </c>
    </row>
    <row r="39" spans="1:8" s="318" customFormat="1" ht="18.75">
      <c r="A39" s="313"/>
      <c r="B39" s="314"/>
      <c r="C39" s="319" t="s">
        <v>426</v>
      </c>
      <c r="D39" s="316"/>
      <c r="E39" s="316"/>
      <c r="F39" s="316"/>
      <c r="G39" s="317"/>
      <c r="H39" s="316"/>
    </row>
    <row r="40" spans="1:8" s="318" customFormat="1" ht="18.75">
      <c r="A40" s="313" t="s">
        <v>50</v>
      </c>
      <c r="B40" s="314" t="s">
        <v>411</v>
      </c>
      <c r="C40" s="319" t="s">
        <v>432</v>
      </c>
      <c r="D40" s="316">
        <v>493900</v>
      </c>
      <c r="E40" s="316">
        <v>492000</v>
      </c>
      <c r="F40" s="316">
        <v>492000</v>
      </c>
      <c r="G40" s="317">
        <f t="shared" si="0"/>
        <v>1900</v>
      </c>
      <c r="H40" s="316">
        <v>0</v>
      </c>
    </row>
    <row r="41" spans="1:8" s="318" customFormat="1" ht="18.75">
      <c r="A41" s="313"/>
      <c r="B41" s="314"/>
      <c r="C41" s="319" t="s">
        <v>433</v>
      </c>
      <c r="D41" s="316"/>
      <c r="E41" s="316"/>
      <c r="F41" s="316"/>
      <c r="G41" s="317"/>
      <c r="H41" s="316"/>
    </row>
    <row r="42" spans="1:8" s="318" customFormat="1" ht="18.75">
      <c r="A42" s="313" t="s">
        <v>50</v>
      </c>
      <c r="B42" s="314" t="s">
        <v>411</v>
      </c>
      <c r="C42" s="319" t="s">
        <v>427</v>
      </c>
      <c r="D42" s="316">
        <v>492900</v>
      </c>
      <c r="E42" s="316">
        <v>492000</v>
      </c>
      <c r="F42" s="316">
        <v>492000</v>
      </c>
      <c r="G42" s="317">
        <f t="shared" si="0"/>
        <v>900</v>
      </c>
      <c r="H42" s="316"/>
    </row>
    <row r="43" spans="1:8" s="318" customFormat="1" ht="18.75">
      <c r="A43" s="313"/>
      <c r="B43" s="314"/>
      <c r="C43" s="319" t="s">
        <v>428</v>
      </c>
      <c r="D43" s="316"/>
      <c r="E43" s="316"/>
      <c r="F43" s="316"/>
      <c r="G43" s="317"/>
      <c r="H43" s="316"/>
    </row>
    <row r="44" spans="1:8" s="318" customFormat="1" ht="18.75">
      <c r="A44" s="313" t="s">
        <v>50</v>
      </c>
      <c r="B44" s="314" t="s">
        <v>411</v>
      </c>
      <c r="C44" s="319" t="s">
        <v>429</v>
      </c>
      <c r="D44" s="316">
        <v>499400</v>
      </c>
      <c r="E44" s="316">
        <v>499000</v>
      </c>
      <c r="F44" s="316">
        <v>499000</v>
      </c>
      <c r="G44" s="317">
        <f t="shared" si="0"/>
        <v>400</v>
      </c>
      <c r="H44" s="316">
        <v>0</v>
      </c>
    </row>
    <row r="45" spans="1:8" s="318" customFormat="1" ht="18.75">
      <c r="A45" s="483" t="s">
        <v>430</v>
      </c>
      <c r="B45" s="484"/>
      <c r="C45" s="320">
        <f aca="true" t="shared" si="1" ref="C45:H45">SUM(C25:C44)</f>
        <v>0</v>
      </c>
      <c r="D45" s="321">
        <f t="shared" si="1"/>
        <v>4868500</v>
      </c>
      <c r="E45" s="321">
        <f t="shared" si="1"/>
        <v>4854800</v>
      </c>
      <c r="F45" s="321">
        <f t="shared" si="1"/>
        <v>4854800</v>
      </c>
      <c r="G45" s="321">
        <f t="shared" si="1"/>
        <v>13700</v>
      </c>
      <c r="H45" s="321">
        <f t="shared" si="1"/>
        <v>0</v>
      </c>
    </row>
  </sheetData>
  <sheetProtection/>
  <mergeCells count="5">
    <mergeCell ref="A2:H2"/>
    <mergeCell ref="A3:H3"/>
    <mergeCell ref="A10:C10"/>
    <mergeCell ref="A1:H1"/>
    <mergeCell ref="A45:B45"/>
  </mergeCells>
  <printOptions/>
  <pageMargins left="0.31496062992125984" right="0.31496062992125984" top="0.55" bottom="0.35433070866141736" header="0.31496062992125984" footer="0.31496062992125984"/>
  <pageSetup horizontalDpi="600" verticalDpi="600" orientation="landscape" paperSize="9" r:id="rId1"/>
  <headerFooter differentFirst="1">
    <oddHeader>&amp;Cหน้าที่ &amp;P</oddHeader>
  </headerFooter>
  <ignoredErrors>
    <ignoredError sqref="D10:E10 H10" formulaRange="1"/>
    <ignoredError sqref="F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17.421875" style="59" customWidth="1"/>
    <col min="2" max="2" width="15.8515625" style="59" customWidth="1"/>
    <col min="3" max="3" width="24.140625" style="59" customWidth="1"/>
    <col min="4" max="4" width="17.7109375" style="59" bestFit="1" customWidth="1"/>
    <col min="5" max="8" width="12.57421875" style="59" customWidth="1"/>
    <col min="9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65</v>
      </c>
      <c r="B2" s="459"/>
      <c r="C2" s="459"/>
      <c r="D2" s="459"/>
      <c r="E2" s="459"/>
      <c r="F2" s="459"/>
      <c r="G2" s="459"/>
      <c r="H2" s="459"/>
    </row>
    <row r="3" spans="1:8" ht="23.25">
      <c r="A3" s="459" t="s">
        <v>453</v>
      </c>
      <c r="B3" s="459"/>
      <c r="C3" s="459"/>
      <c r="D3" s="459"/>
      <c r="E3" s="459"/>
      <c r="F3" s="459"/>
      <c r="G3" s="459"/>
      <c r="H3" s="459"/>
    </row>
    <row r="5" ht="23.25">
      <c r="A5" s="60" t="s">
        <v>259</v>
      </c>
    </row>
    <row r="6" ht="23.25">
      <c r="A6" s="59" t="s">
        <v>181</v>
      </c>
    </row>
    <row r="7" spans="1:8" s="61" customFormat="1" ht="42" customHeight="1">
      <c r="A7" s="121" t="s">
        <v>79</v>
      </c>
      <c r="B7" s="121" t="s">
        <v>80</v>
      </c>
      <c r="C7" s="121" t="s">
        <v>81</v>
      </c>
      <c r="D7" s="122" t="s">
        <v>89</v>
      </c>
      <c r="E7" s="123" t="s">
        <v>90</v>
      </c>
      <c r="F7" s="121" t="s">
        <v>91</v>
      </c>
      <c r="G7" s="121" t="s">
        <v>92</v>
      </c>
      <c r="H7" s="121" t="s">
        <v>93</v>
      </c>
    </row>
    <row r="8" spans="1:8" s="126" customFormat="1" ht="21" customHeight="1">
      <c r="A8" s="91"/>
      <c r="B8" s="91"/>
      <c r="C8" s="124"/>
      <c r="D8" s="125"/>
      <c r="E8" s="125"/>
      <c r="F8" s="125"/>
      <c r="G8" s="125"/>
      <c r="H8" s="125"/>
    </row>
    <row r="9" spans="1:8" ht="23.25">
      <c r="A9" s="127"/>
      <c r="B9" s="127"/>
      <c r="C9" s="128"/>
      <c r="D9" s="129"/>
      <c r="E9" s="129"/>
      <c r="F9" s="129"/>
      <c r="G9" s="129"/>
      <c r="H9" s="129"/>
    </row>
    <row r="10" spans="1:8" ht="23.25">
      <c r="A10" s="130"/>
      <c r="B10" s="130"/>
      <c r="C10" s="131"/>
      <c r="D10" s="132"/>
      <c r="E10" s="132"/>
      <c r="F10" s="132"/>
      <c r="G10" s="132"/>
      <c r="H10" s="132"/>
    </row>
    <row r="11" spans="1:8" ht="24" thickBot="1">
      <c r="A11" s="482" t="s">
        <v>68</v>
      </c>
      <c r="B11" s="482"/>
      <c r="C11" s="482"/>
      <c r="D11" s="133">
        <f>SUM(D9:D10)</f>
        <v>0</v>
      </c>
      <c r="E11" s="133">
        <f>SUM(E9:E10)</f>
        <v>0</v>
      </c>
      <c r="F11" s="133">
        <f>SUM(F8:F10)</f>
        <v>0</v>
      </c>
      <c r="G11" s="133">
        <f>SUM(G9:G10)</f>
        <v>0</v>
      </c>
      <c r="H11" s="133">
        <f>SUM(H9:H10)</f>
        <v>0</v>
      </c>
    </row>
    <row r="12" ht="24" thickTop="1">
      <c r="A12" s="59" t="s">
        <v>214</v>
      </c>
    </row>
    <row r="13" spans="1:8" s="61" customFormat="1" ht="42" customHeight="1">
      <c r="A13" s="121" t="s">
        <v>79</v>
      </c>
      <c r="B13" s="121" t="s">
        <v>80</v>
      </c>
      <c r="C13" s="121" t="s">
        <v>81</v>
      </c>
      <c r="D13" s="122" t="s">
        <v>89</v>
      </c>
      <c r="E13" s="123" t="s">
        <v>90</v>
      </c>
      <c r="F13" s="121" t="s">
        <v>91</v>
      </c>
      <c r="G13" s="121" t="s">
        <v>92</v>
      </c>
      <c r="H13" s="121" t="s">
        <v>93</v>
      </c>
    </row>
    <row r="14" spans="1:8" s="126" customFormat="1" ht="21" customHeight="1">
      <c r="A14" s="91"/>
      <c r="B14" s="91"/>
      <c r="C14" s="124"/>
      <c r="D14" s="125"/>
      <c r="E14" s="125"/>
      <c r="F14" s="125"/>
      <c r="G14" s="125"/>
      <c r="H14" s="125"/>
    </row>
    <row r="15" spans="1:8" ht="23.25">
      <c r="A15" s="127"/>
      <c r="B15" s="127"/>
      <c r="C15" s="128"/>
      <c r="D15" s="129"/>
      <c r="E15" s="129"/>
      <c r="F15" s="129"/>
      <c r="G15" s="129"/>
      <c r="H15" s="129"/>
    </row>
    <row r="16" spans="1:8" ht="23.25">
      <c r="A16" s="130"/>
      <c r="B16" s="130"/>
      <c r="C16" s="131"/>
      <c r="D16" s="132"/>
      <c r="E16" s="132"/>
      <c r="F16" s="132"/>
      <c r="G16" s="132"/>
      <c r="H16" s="132"/>
    </row>
    <row r="17" spans="1:8" ht="24" thickBot="1">
      <c r="A17" s="482" t="s">
        <v>68</v>
      </c>
      <c r="B17" s="482"/>
      <c r="C17" s="482"/>
      <c r="D17" s="133">
        <f>SUM(D15:D16)</f>
        <v>0</v>
      </c>
      <c r="E17" s="133">
        <f>SUM(E15:E16)</f>
        <v>0</v>
      </c>
      <c r="F17" s="133">
        <f>SUM(F14:F16)</f>
        <v>0</v>
      </c>
      <c r="G17" s="133">
        <f>SUM(G15:G16)</f>
        <v>0</v>
      </c>
      <c r="H17" s="133">
        <f>SUM(H15:H16)</f>
        <v>0</v>
      </c>
    </row>
    <row r="18" ht="24" thickTop="1"/>
  </sheetData>
  <sheetProtection/>
  <mergeCells count="5">
    <mergeCell ref="A1:H1"/>
    <mergeCell ref="A2:H2"/>
    <mergeCell ref="A3:H3"/>
    <mergeCell ref="A17:C17"/>
    <mergeCell ref="A11:C11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90" zoomScalePageLayoutView="0" workbookViewId="0" topLeftCell="A1">
      <selection activeCell="C10" sqref="C10"/>
    </sheetView>
  </sheetViews>
  <sheetFormatPr defaultColWidth="9.140625" defaultRowHeight="15"/>
  <cols>
    <col min="1" max="1" width="17.421875" style="59" customWidth="1"/>
    <col min="2" max="2" width="15.8515625" style="59" customWidth="1"/>
    <col min="3" max="3" width="31.421875" style="59" customWidth="1"/>
    <col min="4" max="4" width="23.00390625" style="59" customWidth="1"/>
    <col min="5" max="6" width="18.28125" style="59" customWidth="1"/>
    <col min="7" max="7" width="9.00390625" style="59" customWidth="1"/>
    <col min="8" max="8" width="13.421875" style="59" bestFit="1" customWidth="1"/>
    <col min="9" max="16384" width="9.00390625" style="59" customWidth="1"/>
  </cols>
  <sheetData>
    <row r="1" spans="1:6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</row>
    <row r="2" spans="1:6" ht="23.25">
      <c r="A2" s="459" t="s">
        <v>173</v>
      </c>
      <c r="B2" s="459"/>
      <c r="C2" s="459"/>
      <c r="D2" s="459"/>
      <c r="E2" s="459"/>
      <c r="F2" s="459"/>
    </row>
    <row r="3" spans="1:6" ht="23.25">
      <c r="A3" s="459" t="s">
        <v>273</v>
      </c>
      <c r="B3" s="459"/>
      <c r="C3" s="459"/>
      <c r="D3" s="459"/>
      <c r="E3" s="459"/>
      <c r="F3" s="459"/>
    </row>
    <row r="6" spans="1:6" s="61" customFormat="1" ht="30.75" customHeight="1">
      <c r="A6" s="135" t="s">
        <v>94</v>
      </c>
      <c r="B6" s="135" t="s">
        <v>79</v>
      </c>
      <c r="C6" s="135" t="s">
        <v>76</v>
      </c>
      <c r="D6" s="142" t="s">
        <v>29</v>
      </c>
      <c r="E6" s="365" t="s">
        <v>49</v>
      </c>
      <c r="F6" s="135" t="s">
        <v>68</v>
      </c>
    </row>
    <row r="7" spans="1:6" ht="23.25">
      <c r="A7" s="73" t="s">
        <v>49</v>
      </c>
      <c r="B7" s="73" t="s">
        <v>49</v>
      </c>
      <c r="C7" s="366" t="s">
        <v>175</v>
      </c>
      <c r="D7" s="367">
        <v>11486905</v>
      </c>
      <c r="E7" s="367">
        <v>10934169</v>
      </c>
      <c r="F7" s="367">
        <f>SUM(E7)</f>
        <v>10934169</v>
      </c>
    </row>
    <row r="8" spans="1:6" ht="23.25">
      <c r="A8" s="75"/>
      <c r="B8" s="75"/>
      <c r="C8" s="368"/>
      <c r="D8" s="369"/>
      <c r="E8" s="369"/>
      <c r="F8" s="369"/>
    </row>
    <row r="9" spans="1:6" ht="23.25">
      <c r="A9" s="75"/>
      <c r="B9" s="75"/>
      <c r="C9" s="75"/>
      <c r="D9" s="76"/>
      <c r="E9" s="76"/>
      <c r="F9" s="76"/>
    </row>
    <row r="10" spans="1:6" ht="23.25">
      <c r="A10" s="75"/>
      <c r="B10" s="75"/>
      <c r="C10" s="75"/>
      <c r="D10" s="76"/>
      <c r="E10" s="76"/>
      <c r="F10" s="76"/>
    </row>
    <row r="11" spans="1:6" ht="23.25">
      <c r="A11" s="75"/>
      <c r="B11" s="75"/>
      <c r="C11" s="75"/>
      <c r="D11" s="76"/>
      <c r="E11" s="76"/>
      <c r="F11" s="76"/>
    </row>
    <row r="12" spans="1:6" ht="23.25">
      <c r="A12" s="75"/>
      <c r="B12" s="75"/>
      <c r="C12" s="75"/>
      <c r="D12" s="76"/>
      <c r="E12" s="76"/>
      <c r="F12" s="76"/>
    </row>
    <row r="13" spans="1:6" ht="23.25">
      <c r="A13" s="75"/>
      <c r="B13" s="75"/>
      <c r="C13" s="75"/>
      <c r="D13" s="76"/>
      <c r="E13" s="76"/>
      <c r="F13" s="136"/>
    </row>
    <row r="14" spans="1:8" ht="24" thickBot="1">
      <c r="A14" s="458" t="s">
        <v>68</v>
      </c>
      <c r="B14" s="458"/>
      <c r="C14" s="458"/>
      <c r="D14" s="137">
        <f>SUM(D7:D13)</f>
        <v>11486905</v>
      </c>
      <c r="E14" s="137">
        <f>SUM(E7:E13)</f>
        <v>10934169</v>
      </c>
      <c r="F14" s="137">
        <f>SUM(F7:F13)</f>
        <v>10934169</v>
      </c>
      <c r="H14" s="134"/>
    </row>
    <row r="15" ht="24" thickTop="1">
      <c r="H15" s="134"/>
    </row>
    <row r="16" ht="23.25">
      <c r="A16" s="60" t="s">
        <v>95</v>
      </c>
    </row>
  </sheetData>
  <sheetProtection/>
  <mergeCells count="4">
    <mergeCell ref="A1:F1"/>
    <mergeCell ref="A2:F2"/>
    <mergeCell ref="A3:F3"/>
    <mergeCell ref="A14:C14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5.7109375" style="59" customWidth="1"/>
    <col min="2" max="2" width="17.57421875" style="59" customWidth="1"/>
    <col min="3" max="3" width="12.57421875" style="59" customWidth="1"/>
    <col min="4" max="4" width="15.421875" style="59" customWidth="1"/>
    <col min="5" max="5" width="15.421875" style="59" bestFit="1" customWidth="1"/>
    <col min="6" max="6" width="21.8515625" style="59" customWidth="1"/>
    <col min="7" max="7" width="16.28125" style="59" customWidth="1"/>
    <col min="8" max="8" width="13.421875" style="59" customWidth="1"/>
    <col min="9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105</v>
      </c>
      <c r="B2" s="459"/>
      <c r="C2" s="459"/>
      <c r="D2" s="459"/>
      <c r="E2" s="459"/>
      <c r="F2" s="459"/>
      <c r="G2" s="459"/>
      <c r="H2" s="459"/>
    </row>
    <row r="3" spans="1:8" ht="23.25">
      <c r="A3" s="459" t="s">
        <v>273</v>
      </c>
      <c r="B3" s="459"/>
      <c r="C3" s="459"/>
      <c r="D3" s="459"/>
      <c r="E3" s="459"/>
      <c r="F3" s="459"/>
      <c r="G3" s="459"/>
      <c r="H3" s="459"/>
    </row>
    <row r="5" spans="1:8" s="61" customFormat="1" ht="32.25" customHeight="1">
      <c r="A5" s="135" t="s">
        <v>94</v>
      </c>
      <c r="B5" s="135" t="s">
        <v>79</v>
      </c>
      <c r="C5" s="135" t="s">
        <v>76</v>
      </c>
      <c r="D5" s="122" t="s">
        <v>29</v>
      </c>
      <c r="E5" s="123" t="s">
        <v>106</v>
      </c>
      <c r="F5" s="138" t="s">
        <v>107</v>
      </c>
      <c r="G5" s="138" t="s">
        <v>108</v>
      </c>
      <c r="H5" s="135" t="s">
        <v>68</v>
      </c>
    </row>
    <row r="6" spans="1:8" ht="23.25">
      <c r="A6" s="73" t="s">
        <v>96</v>
      </c>
      <c r="B6" s="73" t="s">
        <v>97</v>
      </c>
      <c r="C6" s="370" t="s">
        <v>175</v>
      </c>
      <c r="D6" s="74">
        <v>2311920</v>
      </c>
      <c r="E6" s="74">
        <v>2254320</v>
      </c>
      <c r="F6" s="74">
        <v>0</v>
      </c>
      <c r="G6" s="376">
        <v>0</v>
      </c>
      <c r="H6" s="74">
        <f>SUM(E6:G6)</f>
        <v>2254320</v>
      </c>
    </row>
    <row r="7" spans="1:8" ht="23.25">
      <c r="A7" s="75"/>
      <c r="B7" s="75" t="s">
        <v>98</v>
      </c>
      <c r="C7" s="371" t="s">
        <v>175</v>
      </c>
      <c r="D7" s="76">
        <f>4187880+5340+2138460-220617</f>
        <v>6111063</v>
      </c>
      <c r="E7" s="76">
        <v>3897950</v>
      </c>
      <c r="F7" s="76">
        <v>0</v>
      </c>
      <c r="G7" s="377">
        <v>1446516</v>
      </c>
      <c r="H7" s="76">
        <f aca="true" t="shared" si="0" ref="H7:H16">SUM(E7:G7)</f>
        <v>5344466</v>
      </c>
    </row>
    <row r="8" spans="1:8" ht="23.25">
      <c r="A8" s="75" t="s">
        <v>99</v>
      </c>
      <c r="B8" s="139" t="s">
        <v>45</v>
      </c>
      <c r="C8" s="371" t="s">
        <v>175</v>
      </c>
      <c r="D8" s="76">
        <f>681300+130000+213820</f>
        <v>1025120</v>
      </c>
      <c r="E8" s="76">
        <f>437366-9630+307300</f>
        <v>735036</v>
      </c>
      <c r="F8" s="76">
        <v>0</v>
      </c>
      <c r="G8" s="377">
        <v>190620</v>
      </c>
      <c r="H8" s="76">
        <f t="shared" si="0"/>
        <v>925656</v>
      </c>
    </row>
    <row r="9" spans="1:8" ht="23.25">
      <c r="A9" s="75"/>
      <c r="B9" s="139" t="s">
        <v>46</v>
      </c>
      <c r="C9" s="371" t="s">
        <v>175</v>
      </c>
      <c r="D9" s="76">
        <f>1130000-300000+310000-200000</f>
        <v>940000</v>
      </c>
      <c r="E9" s="76">
        <v>546710.84</v>
      </c>
      <c r="F9" s="76">
        <v>0</v>
      </c>
      <c r="G9" s="377">
        <v>67722</v>
      </c>
      <c r="H9" s="76">
        <f t="shared" si="0"/>
        <v>614432.84</v>
      </c>
    </row>
    <row r="10" spans="1:8" ht="23.25">
      <c r="A10" s="75"/>
      <c r="B10" s="139" t="s">
        <v>47</v>
      </c>
      <c r="C10" s="371" t="s">
        <v>175</v>
      </c>
      <c r="D10" s="76">
        <f>395000+50000+80000+40000</f>
        <v>565000</v>
      </c>
      <c r="E10" s="76">
        <v>318254</v>
      </c>
      <c r="F10" s="76">
        <v>0</v>
      </c>
      <c r="G10" s="377">
        <v>118093.45</v>
      </c>
      <c r="H10" s="76">
        <f t="shared" si="0"/>
        <v>436347.45</v>
      </c>
    </row>
    <row r="11" spans="1:8" ht="23.25">
      <c r="A11" s="75"/>
      <c r="B11" s="139" t="s">
        <v>100</v>
      </c>
      <c r="C11" s="371" t="s">
        <v>175</v>
      </c>
      <c r="D11" s="76">
        <f>360000+15000</f>
        <v>375000</v>
      </c>
      <c r="E11" s="76">
        <f>243425.35</f>
        <v>243425.35</v>
      </c>
      <c r="F11" s="76">
        <v>0</v>
      </c>
      <c r="G11" s="377">
        <v>3056</v>
      </c>
      <c r="H11" s="76">
        <f t="shared" si="0"/>
        <v>246481.35</v>
      </c>
    </row>
    <row r="12" spans="1:8" ht="23.25">
      <c r="A12" s="75" t="s">
        <v>102</v>
      </c>
      <c r="B12" s="139" t="s">
        <v>101</v>
      </c>
      <c r="C12" s="371" t="s">
        <v>175</v>
      </c>
      <c r="D12" s="76">
        <f>5000+29500+16000</f>
        <v>50500</v>
      </c>
      <c r="E12" s="76">
        <v>25300</v>
      </c>
      <c r="F12" s="76">
        <v>0</v>
      </c>
      <c r="G12" s="377">
        <v>16000</v>
      </c>
      <c r="H12" s="76">
        <f t="shared" si="0"/>
        <v>41300</v>
      </c>
    </row>
    <row r="13" spans="1:8" ht="23.25">
      <c r="A13" s="75"/>
      <c r="B13" s="139" t="s">
        <v>50</v>
      </c>
      <c r="C13" s="371" t="s">
        <v>175</v>
      </c>
      <c r="D13" s="76">
        <f>50000-9500</f>
        <v>40500</v>
      </c>
      <c r="E13" s="76">
        <v>36450</v>
      </c>
      <c r="F13" s="76">
        <v>0</v>
      </c>
      <c r="G13" s="377">
        <v>0</v>
      </c>
      <c r="H13" s="76">
        <f t="shared" si="0"/>
        <v>36450</v>
      </c>
    </row>
    <row r="14" spans="1:8" ht="23.25">
      <c r="A14" s="75" t="s">
        <v>103</v>
      </c>
      <c r="B14" s="139" t="s">
        <v>48</v>
      </c>
      <c r="C14" s="371" t="s">
        <v>175</v>
      </c>
      <c r="D14" s="76">
        <v>25000</v>
      </c>
      <c r="E14" s="76">
        <v>20000</v>
      </c>
      <c r="F14" s="76">
        <v>0</v>
      </c>
      <c r="G14" s="377">
        <v>0</v>
      </c>
      <c r="H14" s="76">
        <f t="shared" si="0"/>
        <v>20000</v>
      </c>
    </row>
    <row r="15" spans="1:8" ht="23.25">
      <c r="A15" s="75" t="s">
        <v>104</v>
      </c>
      <c r="B15" s="139" t="s">
        <v>28</v>
      </c>
      <c r="C15" s="364" t="s">
        <v>175</v>
      </c>
      <c r="D15" s="76">
        <v>0</v>
      </c>
      <c r="E15" s="76">
        <v>0</v>
      </c>
      <c r="F15" s="76">
        <v>0</v>
      </c>
      <c r="G15" s="377">
        <v>0</v>
      </c>
      <c r="H15" s="136">
        <f t="shared" si="0"/>
        <v>0</v>
      </c>
    </row>
    <row r="16" spans="1:8" ht="24" thickBot="1">
      <c r="A16" s="458" t="s">
        <v>68</v>
      </c>
      <c r="B16" s="458"/>
      <c r="C16" s="458"/>
      <c r="D16" s="137">
        <f>SUM(D6:D15)</f>
        <v>11444103</v>
      </c>
      <c r="E16" s="137">
        <f>SUM(E6:E15)</f>
        <v>8077446.1899999995</v>
      </c>
      <c r="F16" s="137">
        <f>SUM(F6:F15)</f>
        <v>0</v>
      </c>
      <c r="G16" s="137">
        <f>SUM(G6:G15)</f>
        <v>1842007.45</v>
      </c>
      <c r="H16" s="137">
        <f t="shared" si="0"/>
        <v>9919453.639999999</v>
      </c>
    </row>
    <row r="17" ht="24" thickTop="1"/>
    <row r="18" ht="23.25">
      <c r="A18" s="60" t="s">
        <v>95</v>
      </c>
    </row>
    <row r="20" spans="1:6" ht="23.25">
      <c r="A20" s="67"/>
      <c r="B20" s="67"/>
      <c r="C20" s="67"/>
      <c r="D20" s="67"/>
      <c r="E20" s="68"/>
      <c r="F20" s="68"/>
    </row>
    <row r="21" spans="1:6" ht="23.25">
      <c r="A21" s="67"/>
      <c r="B21" s="67"/>
      <c r="C21" s="67"/>
      <c r="D21" s="67"/>
      <c r="E21" s="68"/>
      <c r="F21" s="68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90" zoomScalePageLayoutView="0" workbookViewId="0" topLeftCell="A1">
      <selection activeCell="E10" sqref="E10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3" width="19.7109375" style="59" customWidth="1"/>
    <col min="4" max="4" width="12.57421875" style="59" customWidth="1"/>
    <col min="5" max="5" width="19.421875" style="59" customWidth="1"/>
    <col min="6" max="6" width="14.28125" style="59" customWidth="1"/>
    <col min="7" max="7" width="16.28125" style="59" customWidth="1"/>
    <col min="8" max="8" width="14.140625" style="59" customWidth="1"/>
    <col min="9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109</v>
      </c>
      <c r="B2" s="459"/>
      <c r="C2" s="459"/>
      <c r="D2" s="459"/>
      <c r="E2" s="459"/>
      <c r="F2" s="459"/>
      <c r="G2" s="459"/>
      <c r="H2" s="459"/>
    </row>
    <row r="3" spans="1:8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</row>
    <row r="5" spans="1:8" s="61" customFormat="1" ht="69.75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110</v>
      </c>
      <c r="F5" s="138" t="s">
        <v>111</v>
      </c>
      <c r="G5" s="138" t="s">
        <v>112</v>
      </c>
      <c r="H5" s="135" t="s">
        <v>68</v>
      </c>
    </row>
    <row r="6" spans="1:8" s="61" customFormat="1" ht="21.75" customHeight="1">
      <c r="A6" s="73" t="s">
        <v>96</v>
      </c>
      <c r="B6" s="73" t="s">
        <v>97</v>
      </c>
      <c r="C6" s="370" t="s">
        <v>175</v>
      </c>
      <c r="D6" s="232"/>
      <c r="E6" s="232"/>
      <c r="F6" s="232"/>
      <c r="G6" s="232"/>
      <c r="H6" s="234"/>
    </row>
    <row r="7" spans="1:8" s="61" customFormat="1" ht="21.75" customHeight="1">
      <c r="A7" s="75"/>
      <c r="B7" s="75" t="s">
        <v>98</v>
      </c>
      <c r="C7" s="371" t="s">
        <v>175</v>
      </c>
      <c r="D7" s="76"/>
      <c r="E7" s="76"/>
      <c r="F7" s="76"/>
      <c r="G7" s="76"/>
      <c r="H7" s="141">
        <f>SUM(E7:G7)</f>
        <v>0</v>
      </c>
    </row>
    <row r="8" spans="1:8" ht="21.75" customHeight="1">
      <c r="A8" s="75" t="s">
        <v>99</v>
      </c>
      <c r="B8" s="139" t="s">
        <v>45</v>
      </c>
      <c r="C8" s="371" t="s">
        <v>175</v>
      </c>
      <c r="D8" s="76"/>
      <c r="E8" s="76"/>
      <c r="F8" s="76"/>
      <c r="G8" s="76"/>
      <c r="H8" s="141">
        <f aca="true" t="shared" si="0" ref="H8:H15">SUM(E8:G8)</f>
        <v>0</v>
      </c>
    </row>
    <row r="9" spans="1:8" ht="21.75" customHeight="1">
      <c r="A9" s="75"/>
      <c r="B9" s="139" t="s">
        <v>46</v>
      </c>
      <c r="C9" s="371" t="s">
        <v>175</v>
      </c>
      <c r="D9" s="76">
        <f>180000-127250</f>
        <v>52750</v>
      </c>
      <c r="E9" s="76">
        <v>31150</v>
      </c>
      <c r="F9" s="76"/>
      <c r="G9" s="76"/>
      <c r="H9" s="141">
        <f t="shared" si="0"/>
        <v>31150</v>
      </c>
    </row>
    <row r="10" spans="1:8" ht="21.75" customHeight="1">
      <c r="A10" s="75"/>
      <c r="B10" s="139" t="s">
        <v>47</v>
      </c>
      <c r="C10" s="371" t="s">
        <v>175</v>
      </c>
      <c r="D10" s="76"/>
      <c r="E10" s="76"/>
      <c r="F10" s="76"/>
      <c r="G10" s="76"/>
      <c r="H10" s="141">
        <f t="shared" si="0"/>
        <v>0</v>
      </c>
    </row>
    <row r="11" spans="1:8" ht="21.75" customHeight="1">
      <c r="A11" s="75"/>
      <c r="B11" s="139" t="s">
        <v>100</v>
      </c>
      <c r="C11" s="371" t="s">
        <v>175</v>
      </c>
      <c r="D11" s="76"/>
      <c r="E11" s="76"/>
      <c r="F11" s="76"/>
      <c r="G11" s="76"/>
      <c r="H11" s="141">
        <f t="shared" si="0"/>
        <v>0</v>
      </c>
    </row>
    <row r="12" spans="1:8" ht="21.75" customHeight="1">
      <c r="A12" s="75" t="s">
        <v>102</v>
      </c>
      <c r="B12" s="139" t="s">
        <v>101</v>
      </c>
      <c r="C12" s="371" t="s">
        <v>175</v>
      </c>
      <c r="D12" s="76"/>
      <c r="E12" s="76"/>
      <c r="F12" s="76"/>
      <c r="G12" s="76">
        <v>0</v>
      </c>
      <c r="H12" s="141">
        <f t="shared" si="0"/>
        <v>0</v>
      </c>
    </row>
    <row r="13" spans="1:8" ht="21.75" customHeight="1">
      <c r="A13" s="75"/>
      <c r="B13" s="139" t="s">
        <v>50</v>
      </c>
      <c r="C13" s="371" t="s">
        <v>175</v>
      </c>
      <c r="D13" s="76"/>
      <c r="E13" s="76"/>
      <c r="F13" s="76"/>
      <c r="G13" s="76"/>
      <c r="H13" s="141">
        <f t="shared" si="0"/>
        <v>0</v>
      </c>
    </row>
    <row r="14" spans="1:8" ht="21.75" customHeight="1">
      <c r="A14" s="75" t="s">
        <v>103</v>
      </c>
      <c r="B14" s="139" t="s">
        <v>48</v>
      </c>
      <c r="C14" s="371" t="s">
        <v>175</v>
      </c>
      <c r="D14" s="76"/>
      <c r="E14" s="76"/>
      <c r="F14" s="76"/>
      <c r="G14" s="76"/>
      <c r="H14" s="141">
        <f t="shared" si="0"/>
        <v>0</v>
      </c>
    </row>
    <row r="15" spans="1:8" ht="21.75" customHeight="1">
      <c r="A15" s="75" t="s">
        <v>104</v>
      </c>
      <c r="B15" s="139" t="s">
        <v>28</v>
      </c>
      <c r="C15" s="371" t="s">
        <v>175</v>
      </c>
      <c r="D15" s="76"/>
      <c r="E15" s="76"/>
      <c r="F15" s="76"/>
      <c r="G15" s="76"/>
      <c r="H15" s="141">
        <f t="shared" si="0"/>
        <v>0</v>
      </c>
    </row>
    <row r="16" spans="1:8" ht="21.75" customHeight="1" thickBot="1">
      <c r="A16" s="458" t="s">
        <v>68</v>
      </c>
      <c r="B16" s="458"/>
      <c r="C16" s="458"/>
      <c r="D16" s="137">
        <f>SUM(D8:D15)</f>
        <v>52750</v>
      </c>
      <c r="E16" s="137">
        <f>SUM(E8:E15)</f>
        <v>31150</v>
      </c>
      <c r="F16" s="137">
        <f>SUM(F8:F15)</f>
        <v>0</v>
      </c>
      <c r="G16" s="137">
        <f>SUM(G8:G15)</f>
        <v>0</v>
      </c>
      <c r="H16" s="137">
        <f>SUM(H8:H15)</f>
        <v>31150</v>
      </c>
    </row>
    <row r="17" ht="15.75" customHeight="1" thickTop="1"/>
    <row r="18" ht="23.25">
      <c r="A18" s="60" t="s">
        <v>95</v>
      </c>
    </row>
    <row r="19" ht="23.25">
      <c r="A19" s="60"/>
    </row>
    <row r="21" spans="1:6" ht="23.25">
      <c r="A21" s="67"/>
      <c r="B21" s="67"/>
      <c r="C21" s="67"/>
      <c r="D21" s="67"/>
      <c r="E21" s="68"/>
      <c r="F21" s="68"/>
    </row>
    <row r="22" spans="1:6" ht="23.25">
      <c r="A22" s="67"/>
      <c r="B22" s="67"/>
      <c r="C22" s="67"/>
      <c r="D22" s="67"/>
      <c r="E22" s="68"/>
      <c r="F22" s="68"/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80" zoomScalePageLayoutView="0" workbookViewId="0" topLeftCell="A1">
      <selection activeCell="E10" sqref="E10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3" width="19.8515625" style="59" customWidth="1"/>
    <col min="4" max="4" width="12.57421875" style="59" customWidth="1"/>
    <col min="5" max="5" width="17.421875" style="59" customWidth="1"/>
    <col min="6" max="6" width="16.28125" style="59" customWidth="1"/>
    <col min="7" max="7" width="13.57421875" style="59" customWidth="1"/>
    <col min="8" max="8" width="14.421875" style="59" customWidth="1"/>
    <col min="9" max="9" width="13.421875" style="59" customWidth="1"/>
    <col min="10" max="16384" width="9.00390625" style="59" customWidth="1"/>
  </cols>
  <sheetData>
    <row r="1" spans="1:9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</row>
    <row r="2" spans="1:9" ht="23.25">
      <c r="A2" s="459" t="s">
        <v>113</v>
      </c>
      <c r="B2" s="459"/>
      <c r="C2" s="459"/>
      <c r="D2" s="459"/>
      <c r="E2" s="459"/>
      <c r="F2" s="459"/>
      <c r="G2" s="459"/>
      <c r="H2" s="459"/>
      <c r="I2" s="459"/>
    </row>
    <row r="3" spans="1:9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  <c r="I3" s="459"/>
    </row>
    <row r="5" spans="1:9" s="61" customFormat="1" ht="69.75">
      <c r="A5" s="135" t="s">
        <v>94</v>
      </c>
      <c r="B5" s="135" t="s">
        <v>79</v>
      </c>
      <c r="C5" s="135" t="s">
        <v>76</v>
      </c>
      <c r="D5" s="142" t="s">
        <v>29</v>
      </c>
      <c r="E5" s="138" t="s">
        <v>114</v>
      </c>
      <c r="F5" s="138" t="s">
        <v>115</v>
      </c>
      <c r="G5" s="138" t="s">
        <v>116</v>
      </c>
      <c r="H5" s="142" t="s">
        <v>117</v>
      </c>
      <c r="I5" s="135" t="s">
        <v>68</v>
      </c>
    </row>
    <row r="6" spans="1:9" ht="23.25">
      <c r="A6" s="73" t="s">
        <v>96</v>
      </c>
      <c r="B6" s="73" t="s">
        <v>97</v>
      </c>
      <c r="C6" s="372" t="s">
        <v>175</v>
      </c>
      <c r="D6" s="232"/>
      <c r="E6" s="232"/>
      <c r="F6" s="232"/>
      <c r="G6" s="232"/>
      <c r="H6" s="232"/>
      <c r="I6" s="232">
        <f>SUM(E6:H6)</f>
        <v>0</v>
      </c>
    </row>
    <row r="7" spans="1:9" ht="23.25">
      <c r="A7" s="75"/>
      <c r="B7" s="139" t="s">
        <v>98</v>
      </c>
      <c r="C7" s="371" t="s">
        <v>175</v>
      </c>
      <c r="D7" s="76">
        <f>712560-18000+1346760+1000</f>
        <v>2042320</v>
      </c>
      <c r="E7" s="76">
        <v>133550</v>
      </c>
      <c r="F7" s="76">
        <v>1237203</v>
      </c>
      <c r="G7" s="76"/>
      <c r="H7" s="76"/>
      <c r="I7" s="76">
        <f>SUM(E7:H7)</f>
        <v>1370753</v>
      </c>
    </row>
    <row r="8" spans="1:9" ht="23.25">
      <c r="A8" s="75" t="s">
        <v>99</v>
      </c>
      <c r="B8" s="143" t="s">
        <v>45</v>
      </c>
      <c r="C8" s="371" t="s">
        <v>175</v>
      </c>
      <c r="D8" s="76">
        <f>99000+105230</f>
        <v>204230</v>
      </c>
      <c r="E8" s="76">
        <v>63000</v>
      </c>
      <c r="F8" s="76">
        <v>105230</v>
      </c>
      <c r="G8" s="76"/>
      <c r="H8" s="76"/>
      <c r="I8" s="76">
        <f aca="true" t="shared" si="0" ref="I8:I15">SUM(E8:H8)</f>
        <v>168230</v>
      </c>
    </row>
    <row r="9" spans="1:9" ht="23.25">
      <c r="A9" s="75"/>
      <c r="B9" s="139" t="s">
        <v>46</v>
      </c>
      <c r="C9" s="371" t="s">
        <v>175</v>
      </c>
      <c r="D9" s="76">
        <f>65000+98000+728200-30000</f>
        <v>861200</v>
      </c>
      <c r="E9" s="76">
        <v>131398</v>
      </c>
      <c r="F9" s="76">
        <v>633690</v>
      </c>
      <c r="G9" s="76"/>
      <c r="H9" s="76"/>
      <c r="I9" s="76">
        <f t="shared" si="0"/>
        <v>765088</v>
      </c>
    </row>
    <row r="10" spans="1:9" ht="23.25">
      <c r="A10" s="75"/>
      <c r="B10" s="139" t="s">
        <v>47</v>
      </c>
      <c r="C10" s="371" t="s">
        <v>175</v>
      </c>
      <c r="D10" s="76">
        <f>140000-80000+951440+20000</f>
        <v>1031440</v>
      </c>
      <c r="E10" s="76">
        <v>50040</v>
      </c>
      <c r="F10" s="76">
        <v>961087.28</v>
      </c>
      <c r="G10" s="76"/>
      <c r="H10" s="76"/>
      <c r="I10" s="76">
        <f t="shared" si="0"/>
        <v>1011127.28</v>
      </c>
    </row>
    <row r="11" spans="1:9" ht="23.25">
      <c r="A11" s="75"/>
      <c r="B11" s="139" t="s">
        <v>100</v>
      </c>
      <c r="C11" s="371" t="s">
        <v>175</v>
      </c>
      <c r="D11" s="76">
        <f>8000</f>
        <v>8000</v>
      </c>
      <c r="E11" s="76">
        <v>0</v>
      </c>
      <c r="F11" s="76">
        <v>5150.42</v>
      </c>
      <c r="G11" s="76"/>
      <c r="H11" s="76">
        <v>0</v>
      </c>
      <c r="I11" s="76">
        <f t="shared" si="0"/>
        <v>5150.42</v>
      </c>
    </row>
    <row r="12" spans="1:9" ht="23.25">
      <c r="A12" s="75" t="s">
        <v>102</v>
      </c>
      <c r="B12" s="139" t="s">
        <v>101</v>
      </c>
      <c r="C12" s="371" t="s">
        <v>175</v>
      </c>
      <c r="D12" s="76">
        <f>16000+35500</f>
        <v>51500</v>
      </c>
      <c r="E12" s="76">
        <v>16000</v>
      </c>
      <c r="F12" s="62">
        <v>35500</v>
      </c>
      <c r="G12" s="76"/>
      <c r="H12" s="76"/>
      <c r="I12" s="76">
        <f t="shared" si="0"/>
        <v>51500</v>
      </c>
    </row>
    <row r="13" spans="1:9" ht="23.25">
      <c r="A13" s="75"/>
      <c r="B13" s="139" t="s">
        <v>50</v>
      </c>
      <c r="C13" s="371" t="s">
        <v>175</v>
      </c>
      <c r="D13" s="76">
        <f>719000-299000</f>
        <v>420000</v>
      </c>
      <c r="E13" s="76">
        <v>0</v>
      </c>
      <c r="F13" s="76">
        <v>365000</v>
      </c>
      <c r="G13" s="76"/>
      <c r="H13" s="76"/>
      <c r="I13" s="76">
        <f t="shared" si="0"/>
        <v>365000</v>
      </c>
    </row>
    <row r="14" spans="1:9" ht="23.25">
      <c r="A14" s="75" t="s">
        <v>103</v>
      </c>
      <c r="B14" s="139" t="s">
        <v>48</v>
      </c>
      <c r="C14" s="371" t="s">
        <v>175</v>
      </c>
      <c r="D14" s="76">
        <v>0</v>
      </c>
      <c r="E14" s="76">
        <v>0</v>
      </c>
      <c r="F14" s="76">
        <v>0</v>
      </c>
      <c r="G14" s="76"/>
      <c r="H14" s="76"/>
      <c r="I14" s="76">
        <f t="shared" si="0"/>
        <v>0</v>
      </c>
    </row>
    <row r="15" spans="1:9" ht="23.25">
      <c r="A15" s="75" t="s">
        <v>104</v>
      </c>
      <c r="B15" s="139" t="s">
        <v>28</v>
      </c>
      <c r="C15" s="371" t="s">
        <v>175</v>
      </c>
      <c r="D15" s="76">
        <v>1360000</v>
      </c>
      <c r="E15" s="76">
        <v>0</v>
      </c>
      <c r="F15" s="76">
        <v>1324000</v>
      </c>
      <c r="G15" s="76"/>
      <c r="H15" s="76"/>
      <c r="I15" s="76">
        <f t="shared" si="0"/>
        <v>1324000</v>
      </c>
    </row>
    <row r="16" spans="1:9" ht="24" thickBot="1">
      <c r="A16" s="458" t="s">
        <v>68</v>
      </c>
      <c r="B16" s="458"/>
      <c r="C16" s="458"/>
      <c r="D16" s="137">
        <f aca="true" t="shared" si="1" ref="D16:I16">SUM(D6:D15)</f>
        <v>5978690</v>
      </c>
      <c r="E16" s="137">
        <f t="shared" si="1"/>
        <v>393988</v>
      </c>
      <c r="F16" s="137">
        <f t="shared" si="1"/>
        <v>4666860.7</v>
      </c>
      <c r="G16" s="137">
        <f t="shared" si="1"/>
        <v>0</v>
      </c>
      <c r="H16" s="137">
        <f t="shared" si="1"/>
        <v>0</v>
      </c>
      <c r="I16" s="137">
        <f t="shared" si="1"/>
        <v>5060848.7</v>
      </c>
    </row>
    <row r="17" ht="15" customHeight="1" thickTop="1"/>
    <row r="18" ht="23.25">
      <c r="A18" s="60" t="s">
        <v>95</v>
      </c>
    </row>
    <row r="21" spans="1:6" ht="23.25">
      <c r="A21" s="67"/>
      <c r="B21" s="67"/>
      <c r="C21" s="67"/>
      <c r="D21" s="67"/>
      <c r="E21" s="68"/>
      <c r="F21" s="68"/>
    </row>
    <row r="22" spans="1:6" ht="23.25">
      <c r="A22" s="67"/>
      <c r="B22" s="67"/>
      <c r="C22" s="67"/>
      <c r="D22" s="67"/>
      <c r="E22" s="68"/>
      <c r="F22" s="68"/>
    </row>
  </sheetData>
  <sheetProtection/>
  <mergeCells count="4">
    <mergeCell ref="A16:C16"/>
    <mergeCell ref="A1:I1"/>
    <mergeCell ref="A2:I2"/>
    <mergeCell ref="A3:I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90" zoomScalePageLayoutView="0" workbookViewId="0" topLeftCell="A4">
      <selection activeCell="E16" sqref="E16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4" width="12.57421875" style="59" customWidth="1"/>
    <col min="5" max="5" width="16.57421875" style="59" customWidth="1"/>
    <col min="6" max="6" width="12.421875" style="59" customWidth="1"/>
    <col min="7" max="7" width="14.8515625" style="59" customWidth="1"/>
    <col min="8" max="8" width="13.8515625" style="59" customWidth="1"/>
    <col min="9" max="9" width="12.57421875" style="59" customWidth="1"/>
    <col min="10" max="16384" width="9.00390625" style="59" customWidth="1"/>
  </cols>
  <sheetData>
    <row r="1" spans="1:9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</row>
    <row r="2" spans="1:9" ht="23.25">
      <c r="A2" s="459" t="s">
        <v>118</v>
      </c>
      <c r="B2" s="459"/>
      <c r="C2" s="459"/>
      <c r="D2" s="459"/>
      <c r="E2" s="459"/>
      <c r="F2" s="459"/>
      <c r="G2" s="459"/>
      <c r="H2" s="459"/>
      <c r="I2" s="459"/>
    </row>
    <row r="3" spans="1:9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  <c r="I3" s="459"/>
    </row>
    <row r="4" ht="15" customHeight="1"/>
    <row r="5" spans="1:9" s="61" customFormat="1" ht="69.75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119</v>
      </c>
      <c r="F5" s="138" t="s">
        <v>120</v>
      </c>
      <c r="G5" s="138" t="s">
        <v>121</v>
      </c>
      <c r="H5" s="122" t="s">
        <v>122</v>
      </c>
      <c r="I5" s="121" t="s">
        <v>68</v>
      </c>
    </row>
    <row r="6" spans="1:9" ht="21.75" customHeight="1">
      <c r="A6" s="73" t="s">
        <v>96</v>
      </c>
      <c r="B6" s="73" t="s">
        <v>97</v>
      </c>
      <c r="C6" s="233"/>
      <c r="D6" s="232"/>
      <c r="E6" s="232"/>
      <c r="F6" s="232"/>
      <c r="G6" s="232"/>
      <c r="H6" s="235"/>
      <c r="I6" s="236"/>
    </row>
    <row r="7" spans="1:9" ht="21.75" customHeight="1">
      <c r="A7" s="75"/>
      <c r="B7" s="75" t="s">
        <v>98</v>
      </c>
      <c r="C7" s="371" t="s">
        <v>175</v>
      </c>
      <c r="D7" s="76">
        <v>0</v>
      </c>
      <c r="E7" s="76">
        <v>0</v>
      </c>
      <c r="F7" s="76"/>
      <c r="G7" s="76"/>
      <c r="H7" s="75"/>
      <c r="I7" s="144">
        <f>SUM(E7:H7)</f>
        <v>0</v>
      </c>
    </row>
    <row r="8" spans="1:9" ht="21.75" customHeight="1">
      <c r="A8" s="75" t="s">
        <v>99</v>
      </c>
      <c r="B8" s="139" t="s">
        <v>45</v>
      </c>
      <c r="C8" s="371" t="s">
        <v>175</v>
      </c>
      <c r="D8" s="76">
        <v>0</v>
      </c>
      <c r="E8" s="76">
        <v>0</v>
      </c>
      <c r="F8" s="76"/>
      <c r="G8" s="76"/>
      <c r="H8" s="76"/>
      <c r="I8" s="144">
        <f aca="true" t="shared" si="0" ref="I8:I15">SUM(E8:H8)</f>
        <v>0</v>
      </c>
    </row>
    <row r="9" spans="1:9" ht="21.75" customHeight="1">
      <c r="A9" s="75"/>
      <c r="B9" s="139" t="s">
        <v>46</v>
      </c>
      <c r="C9" s="371" t="s">
        <v>175</v>
      </c>
      <c r="D9" s="76">
        <f>35000</f>
        <v>35000</v>
      </c>
      <c r="E9" s="76">
        <v>0</v>
      </c>
      <c r="F9" s="76"/>
      <c r="G9" s="76"/>
      <c r="H9" s="76"/>
      <c r="I9" s="144">
        <f t="shared" si="0"/>
        <v>0</v>
      </c>
    </row>
    <row r="10" spans="1:9" ht="21.75" customHeight="1">
      <c r="A10" s="75"/>
      <c r="B10" s="139" t="s">
        <v>47</v>
      </c>
      <c r="C10" s="371" t="s">
        <v>175</v>
      </c>
      <c r="D10" s="76">
        <v>121500</v>
      </c>
      <c r="E10" s="76">
        <v>101500</v>
      </c>
      <c r="F10" s="76"/>
      <c r="G10" s="76"/>
      <c r="H10" s="76"/>
      <c r="I10" s="144">
        <f t="shared" si="0"/>
        <v>101500</v>
      </c>
    </row>
    <row r="11" spans="1:9" ht="21.75" customHeight="1">
      <c r="A11" s="75"/>
      <c r="B11" s="139" t="s">
        <v>100</v>
      </c>
      <c r="C11" s="371" t="s">
        <v>175</v>
      </c>
      <c r="D11" s="76">
        <v>0</v>
      </c>
      <c r="E11" s="76">
        <v>0</v>
      </c>
      <c r="F11" s="76"/>
      <c r="G11" s="76"/>
      <c r="H11" s="76"/>
      <c r="I11" s="144">
        <f t="shared" si="0"/>
        <v>0</v>
      </c>
    </row>
    <row r="12" spans="1:9" ht="21.75" customHeight="1">
      <c r="A12" s="75" t="s">
        <v>102</v>
      </c>
      <c r="B12" s="139" t="s">
        <v>101</v>
      </c>
      <c r="C12" s="371" t="s">
        <v>175</v>
      </c>
      <c r="D12" s="76">
        <v>118000</v>
      </c>
      <c r="E12" s="76">
        <v>118000</v>
      </c>
      <c r="F12" s="76"/>
      <c r="G12" s="76"/>
      <c r="H12" s="76">
        <v>0</v>
      </c>
      <c r="I12" s="144">
        <f t="shared" si="0"/>
        <v>118000</v>
      </c>
    </row>
    <row r="13" spans="1:9" ht="21.75" customHeight="1">
      <c r="A13" s="75"/>
      <c r="B13" s="139" t="s">
        <v>50</v>
      </c>
      <c r="C13" s="371" t="s">
        <v>175</v>
      </c>
      <c r="D13" s="76">
        <v>0</v>
      </c>
      <c r="E13" s="76">
        <v>0</v>
      </c>
      <c r="F13" s="76"/>
      <c r="G13" s="76"/>
      <c r="H13" s="76"/>
      <c r="I13" s="144">
        <f t="shared" si="0"/>
        <v>0</v>
      </c>
    </row>
    <row r="14" spans="1:9" ht="21.75" customHeight="1">
      <c r="A14" s="75" t="s">
        <v>103</v>
      </c>
      <c r="B14" s="139" t="s">
        <v>48</v>
      </c>
      <c r="C14" s="371" t="s">
        <v>175</v>
      </c>
      <c r="D14" s="76">
        <v>0</v>
      </c>
      <c r="E14" s="76">
        <v>0</v>
      </c>
      <c r="F14" s="76"/>
      <c r="G14" s="76"/>
      <c r="H14" s="76"/>
      <c r="I14" s="144">
        <f t="shared" si="0"/>
        <v>0</v>
      </c>
    </row>
    <row r="15" spans="1:9" ht="21.75" customHeight="1">
      <c r="A15" s="75" t="s">
        <v>104</v>
      </c>
      <c r="B15" s="139" t="s">
        <v>28</v>
      </c>
      <c r="C15" s="371" t="s">
        <v>175</v>
      </c>
      <c r="D15" s="76">
        <v>67000</v>
      </c>
      <c r="E15" s="76">
        <v>0</v>
      </c>
      <c r="F15" s="76"/>
      <c r="G15" s="76"/>
      <c r="H15" s="76"/>
      <c r="I15" s="144">
        <f t="shared" si="0"/>
        <v>0</v>
      </c>
    </row>
    <row r="16" spans="1:9" ht="24" thickBot="1">
      <c r="A16" s="458" t="s">
        <v>68</v>
      </c>
      <c r="B16" s="458"/>
      <c r="C16" s="458"/>
      <c r="D16" s="137">
        <f aca="true" t="shared" si="1" ref="D16:I16">SUM(D8:D15)</f>
        <v>341500</v>
      </c>
      <c r="E16" s="137">
        <f t="shared" si="1"/>
        <v>219500</v>
      </c>
      <c r="F16" s="137">
        <f t="shared" si="1"/>
        <v>0</v>
      </c>
      <c r="G16" s="137">
        <f t="shared" si="1"/>
        <v>0</v>
      </c>
      <c r="H16" s="137">
        <f t="shared" si="1"/>
        <v>0</v>
      </c>
      <c r="I16" s="137">
        <f t="shared" si="1"/>
        <v>219500</v>
      </c>
    </row>
    <row r="17" ht="15.75" customHeight="1" thickTop="1"/>
    <row r="18" ht="23.25">
      <c r="A18" s="60" t="s">
        <v>95</v>
      </c>
    </row>
    <row r="19" ht="27.75" customHeight="1"/>
    <row r="20" spans="1:6" ht="23.25">
      <c r="A20" s="67"/>
      <c r="B20" s="67"/>
      <c r="C20" s="67"/>
      <c r="D20" s="67"/>
      <c r="E20" s="68"/>
      <c r="F20" s="68"/>
    </row>
    <row r="21" spans="1:6" ht="23.25">
      <c r="A21" s="67"/>
      <c r="B21" s="67"/>
      <c r="C21" s="67"/>
      <c r="D21" s="67"/>
      <c r="E21" s="68"/>
      <c r="F21" s="68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10" zoomScaleSheetLayoutView="110" zoomScalePageLayoutView="0" workbookViewId="0" topLeftCell="A1">
      <selection activeCell="F5" sqref="F5"/>
    </sheetView>
  </sheetViews>
  <sheetFormatPr defaultColWidth="9.140625" defaultRowHeight="15"/>
  <cols>
    <col min="1" max="1" width="9.00390625" style="24" customWidth="1"/>
    <col min="2" max="2" width="4.00390625" style="24" customWidth="1"/>
    <col min="3" max="7" width="9.00390625" style="24" customWidth="1"/>
    <col min="8" max="8" width="11.28125" style="24" customWidth="1"/>
    <col min="9" max="9" width="18.7109375" style="24" customWidth="1"/>
    <col min="10" max="16384" width="9.00390625" style="24" customWidth="1"/>
  </cols>
  <sheetData>
    <row r="1" spans="1:10" ht="23.25">
      <c r="A1" s="445" t="s">
        <v>339</v>
      </c>
      <c r="B1" s="445"/>
      <c r="C1" s="445"/>
      <c r="D1" s="445"/>
      <c r="E1" s="445"/>
      <c r="F1" s="445"/>
      <c r="G1" s="445"/>
      <c r="H1" s="445"/>
      <c r="I1" s="445"/>
      <c r="J1" s="358"/>
    </row>
    <row r="2" spans="1:10" ht="23.25">
      <c r="A2" s="445" t="s">
        <v>65</v>
      </c>
      <c r="B2" s="445"/>
      <c r="C2" s="445"/>
      <c r="D2" s="445"/>
      <c r="E2" s="445"/>
      <c r="F2" s="445"/>
      <c r="G2" s="445"/>
      <c r="H2" s="445"/>
      <c r="I2" s="445"/>
      <c r="J2" s="358"/>
    </row>
    <row r="3" spans="1:10" ht="23.25" customHeight="1">
      <c r="A3" s="446" t="s">
        <v>449</v>
      </c>
      <c r="B3" s="446"/>
      <c r="C3" s="446"/>
      <c r="D3" s="446"/>
      <c r="E3" s="446"/>
      <c r="F3" s="446"/>
      <c r="G3" s="446"/>
      <c r="H3" s="446"/>
      <c r="I3" s="446"/>
      <c r="J3" s="359"/>
    </row>
    <row r="4" ht="28.5" customHeight="1">
      <c r="A4" s="360" t="s">
        <v>176</v>
      </c>
    </row>
    <row r="5" ht="28.5" customHeight="1">
      <c r="B5" s="24" t="s">
        <v>187</v>
      </c>
    </row>
    <row r="6" ht="28.5" customHeight="1">
      <c r="A6" s="24" t="s">
        <v>305</v>
      </c>
    </row>
    <row r="7" ht="28.5" customHeight="1">
      <c r="A7" s="24" t="s">
        <v>328</v>
      </c>
    </row>
    <row r="8" ht="28.5" customHeight="1">
      <c r="A8" s="24" t="s">
        <v>329</v>
      </c>
    </row>
    <row r="9" ht="28.5" customHeight="1">
      <c r="A9" s="24" t="s">
        <v>330</v>
      </c>
    </row>
    <row r="10" ht="28.5" customHeight="1">
      <c r="A10" s="24" t="s">
        <v>331</v>
      </c>
    </row>
    <row r="11" ht="28.5" customHeight="1">
      <c r="B11" s="24" t="s">
        <v>153</v>
      </c>
    </row>
    <row r="12" ht="28.5" customHeight="1">
      <c r="C12" s="24" t="s">
        <v>332</v>
      </c>
    </row>
    <row r="13" ht="28.5" customHeight="1">
      <c r="C13" s="24" t="s">
        <v>333</v>
      </c>
    </row>
    <row r="14" ht="28.5" customHeight="1">
      <c r="C14" s="24" t="s">
        <v>334</v>
      </c>
    </row>
    <row r="15" ht="28.5" customHeight="1">
      <c r="B15" s="24" t="s">
        <v>335</v>
      </c>
    </row>
    <row r="16" ht="28.5" customHeight="1">
      <c r="C16" s="24" t="s">
        <v>336</v>
      </c>
    </row>
    <row r="17" ht="28.5" customHeight="1">
      <c r="B17" s="24" t="s">
        <v>337</v>
      </c>
    </row>
    <row r="18" ht="28.5" customHeight="1">
      <c r="C18" s="24" t="s">
        <v>338</v>
      </c>
    </row>
    <row r="19" ht="17.25" customHeight="1"/>
    <row r="20" s="360" customFormat="1" ht="28.5" customHeight="1">
      <c r="A20" s="360" t="s">
        <v>177</v>
      </c>
    </row>
    <row r="21" ht="28.5" customHeight="1">
      <c r="B21" s="24" t="s">
        <v>178</v>
      </c>
    </row>
    <row r="22" spans="3:9" ht="28.5" customHeight="1">
      <c r="C22" s="361" t="s">
        <v>188</v>
      </c>
      <c r="D22" s="361"/>
      <c r="E22" s="361"/>
      <c r="F22" s="361"/>
      <c r="G22" s="361"/>
      <c r="H22" s="361"/>
      <c r="I22" s="361"/>
    </row>
    <row r="23" ht="28.5" customHeight="1">
      <c r="A23" s="24" t="s">
        <v>445</v>
      </c>
    </row>
    <row r="24" ht="28.5" customHeight="1">
      <c r="A24" s="24" t="s">
        <v>189</v>
      </c>
    </row>
    <row r="25" ht="28.5" customHeight="1">
      <c r="A25" s="24" t="s">
        <v>190</v>
      </c>
    </row>
    <row r="26" ht="23.25">
      <c r="B26" s="24" t="s">
        <v>191</v>
      </c>
    </row>
    <row r="27" spans="1:4" s="68" customFormat="1" ht="23.25">
      <c r="A27" s="67"/>
      <c r="B27" s="67"/>
      <c r="C27" s="67"/>
      <c r="D27" s="67"/>
    </row>
    <row r="28" spans="1:4" s="68" customFormat="1" ht="24.75" customHeight="1">
      <c r="A28" s="67"/>
      <c r="B28" s="67"/>
      <c r="C28" s="67"/>
      <c r="D28" s="67"/>
    </row>
    <row r="31" spans="5:9" s="18" customFormat="1" ht="23.25">
      <c r="E31" s="19"/>
      <c r="F31" s="19"/>
      <c r="G31" s="19"/>
      <c r="H31" s="20"/>
      <c r="I31" s="21"/>
    </row>
  </sheetData>
  <sheetProtection/>
  <mergeCells count="3">
    <mergeCell ref="A1:I1"/>
    <mergeCell ref="A2:I2"/>
    <mergeCell ref="A3:I3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90" zoomScalePageLayoutView="0" workbookViewId="0" topLeftCell="A4">
      <selection activeCell="C9" sqref="C9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3" width="12.57421875" style="59" customWidth="1"/>
    <col min="4" max="4" width="14.421875" style="59" customWidth="1"/>
    <col min="5" max="5" width="27.00390625" style="59" customWidth="1"/>
    <col min="6" max="6" width="18.57421875" style="59" customWidth="1"/>
    <col min="7" max="7" width="16.8515625" style="59" customWidth="1"/>
    <col min="8" max="16384" width="9.00390625" style="59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3.25">
      <c r="A2" s="459" t="s">
        <v>123</v>
      </c>
      <c r="B2" s="459"/>
      <c r="C2" s="459"/>
      <c r="D2" s="459"/>
      <c r="E2" s="459"/>
      <c r="F2" s="459"/>
      <c r="G2" s="459"/>
    </row>
    <row r="3" spans="1:7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</row>
    <row r="5" spans="1:7" s="61" customFormat="1" ht="46.5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124</v>
      </c>
      <c r="F5" s="138" t="s">
        <v>125</v>
      </c>
      <c r="G5" s="135" t="s">
        <v>68</v>
      </c>
    </row>
    <row r="6" spans="1:7" ht="23.25">
      <c r="A6" s="73" t="s">
        <v>96</v>
      </c>
      <c r="B6" s="73" t="s">
        <v>97</v>
      </c>
      <c r="C6" s="233"/>
      <c r="D6" s="232"/>
      <c r="E6" s="232"/>
      <c r="F6" s="232"/>
      <c r="G6" s="232"/>
    </row>
    <row r="7" spans="1:7" ht="23.25">
      <c r="A7" s="75"/>
      <c r="B7" s="75" t="s">
        <v>98</v>
      </c>
      <c r="C7" s="75"/>
      <c r="D7" s="76"/>
      <c r="E7" s="76"/>
      <c r="F7" s="76"/>
      <c r="G7" s="76">
        <f>SUM(E7:F7)</f>
        <v>0</v>
      </c>
    </row>
    <row r="8" spans="1:7" ht="23.25">
      <c r="A8" s="75" t="s">
        <v>99</v>
      </c>
      <c r="B8" s="139" t="s">
        <v>45</v>
      </c>
      <c r="C8" s="75"/>
      <c r="D8" s="76"/>
      <c r="E8" s="76"/>
      <c r="F8" s="76"/>
      <c r="G8" s="76">
        <f aca="true" t="shared" si="0" ref="G8:G15">SUM(E8:F8)</f>
        <v>0</v>
      </c>
    </row>
    <row r="9" spans="1:7" ht="23.25">
      <c r="A9" s="75"/>
      <c r="B9" s="139" t="s">
        <v>46</v>
      </c>
      <c r="C9" s="371" t="s">
        <v>175</v>
      </c>
      <c r="D9" s="76">
        <v>20000</v>
      </c>
      <c r="E9" s="76"/>
      <c r="F9" s="76"/>
      <c r="G9" s="76">
        <f t="shared" si="0"/>
        <v>0</v>
      </c>
    </row>
    <row r="10" spans="1:7" ht="23.25">
      <c r="A10" s="75"/>
      <c r="B10" s="139" t="s">
        <v>47</v>
      </c>
      <c r="C10" s="75"/>
      <c r="D10" s="76"/>
      <c r="E10" s="76"/>
      <c r="F10" s="76"/>
      <c r="G10" s="76">
        <f t="shared" si="0"/>
        <v>0</v>
      </c>
    </row>
    <row r="11" spans="1:7" ht="23.25">
      <c r="A11" s="75"/>
      <c r="B11" s="139" t="s">
        <v>100</v>
      </c>
      <c r="C11" s="75"/>
      <c r="D11" s="76"/>
      <c r="E11" s="76"/>
      <c r="F11" s="76"/>
      <c r="G11" s="76">
        <f t="shared" si="0"/>
        <v>0</v>
      </c>
    </row>
    <row r="12" spans="1:7" ht="23.25">
      <c r="A12" s="75" t="s">
        <v>102</v>
      </c>
      <c r="B12" s="139" t="s">
        <v>101</v>
      </c>
      <c r="C12" s="139"/>
      <c r="D12" s="76"/>
      <c r="E12" s="76"/>
      <c r="F12" s="76"/>
      <c r="G12" s="76">
        <f t="shared" si="0"/>
        <v>0</v>
      </c>
    </row>
    <row r="13" spans="1:7" ht="23.25">
      <c r="A13" s="75"/>
      <c r="B13" s="139" t="s">
        <v>50</v>
      </c>
      <c r="C13" s="139"/>
      <c r="D13" s="76"/>
      <c r="E13" s="76"/>
      <c r="F13" s="76"/>
      <c r="G13" s="76">
        <f t="shared" si="0"/>
        <v>0</v>
      </c>
    </row>
    <row r="14" spans="1:7" ht="23.25">
      <c r="A14" s="75" t="s">
        <v>103</v>
      </c>
      <c r="B14" s="139" t="s">
        <v>48</v>
      </c>
      <c r="C14" s="139"/>
      <c r="D14" s="76"/>
      <c r="E14" s="76"/>
      <c r="F14" s="76"/>
      <c r="G14" s="76">
        <f t="shared" si="0"/>
        <v>0</v>
      </c>
    </row>
    <row r="15" spans="1:7" ht="23.25">
      <c r="A15" s="75" t="s">
        <v>104</v>
      </c>
      <c r="B15" s="139" t="s">
        <v>28</v>
      </c>
      <c r="C15" s="139"/>
      <c r="D15" s="76"/>
      <c r="E15" s="76"/>
      <c r="F15" s="76"/>
      <c r="G15" s="76">
        <f t="shared" si="0"/>
        <v>0</v>
      </c>
    </row>
    <row r="16" spans="1:7" ht="24" thickBot="1">
      <c r="A16" s="458" t="s">
        <v>68</v>
      </c>
      <c r="B16" s="458"/>
      <c r="C16" s="458"/>
      <c r="D16" s="137">
        <f>SUM(D6:D15)</f>
        <v>20000</v>
      </c>
      <c r="E16" s="137">
        <f>SUM(E6:E15)</f>
        <v>0</v>
      </c>
      <c r="F16" s="137">
        <f>SUM(F6:F15)</f>
        <v>0</v>
      </c>
      <c r="G16" s="137">
        <f>SUM(G6:G15)</f>
        <v>0</v>
      </c>
    </row>
    <row r="17" ht="24" thickTop="1"/>
    <row r="18" ht="23.25">
      <c r="A18" s="60" t="s">
        <v>95</v>
      </c>
    </row>
    <row r="21" spans="1:6" ht="23.25">
      <c r="A21" s="67"/>
      <c r="B21" s="67"/>
      <c r="C21" s="67"/>
      <c r="D21" s="67"/>
      <c r="E21" s="68"/>
      <c r="F21" s="68"/>
    </row>
    <row r="22" spans="1:6" ht="23.25">
      <c r="A22" s="67"/>
      <c r="B22" s="67"/>
      <c r="C22" s="67"/>
      <c r="D22" s="67"/>
      <c r="E22" s="68"/>
      <c r="F22" s="68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35433070866141736" bottom="0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80" zoomScalePageLayoutView="0" workbookViewId="0" topLeftCell="B1">
      <selection activeCell="E10" sqref="E10"/>
    </sheetView>
  </sheetViews>
  <sheetFormatPr defaultColWidth="9.140625" defaultRowHeight="15"/>
  <cols>
    <col min="1" max="1" width="10.8515625" style="59" customWidth="1"/>
    <col min="2" max="2" width="20.140625" style="59" customWidth="1"/>
    <col min="3" max="3" width="19.140625" style="59" customWidth="1"/>
    <col min="4" max="4" width="15.421875" style="59" customWidth="1"/>
    <col min="5" max="5" width="14.57421875" style="59" customWidth="1"/>
    <col min="6" max="6" width="14.28125" style="59" customWidth="1"/>
    <col min="7" max="7" width="12.421875" style="59" customWidth="1"/>
    <col min="8" max="8" width="13.140625" style="59" customWidth="1"/>
    <col min="9" max="9" width="12.421875" style="59" customWidth="1"/>
    <col min="10" max="10" width="14.421875" style="59" customWidth="1"/>
    <col min="11" max="16384" width="9.00390625" style="59" customWidth="1"/>
  </cols>
  <sheetData>
    <row r="1" spans="1:10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23.25">
      <c r="A2" s="459" t="s">
        <v>126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  <c r="I3" s="459"/>
      <c r="J3" s="459"/>
    </row>
    <row r="4" ht="15.75" customHeight="1"/>
    <row r="5" spans="1:10" s="61" customFormat="1" ht="69.75">
      <c r="A5" s="135" t="s">
        <v>94</v>
      </c>
      <c r="B5" s="135" t="s">
        <v>79</v>
      </c>
      <c r="C5" s="121" t="s">
        <v>76</v>
      </c>
      <c r="D5" s="122" t="s">
        <v>29</v>
      </c>
      <c r="E5" s="140" t="s">
        <v>127</v>
      </c>
      <c r="F5" s="140" t="s">
        <v>128</v>
      </c>
      <c r="G5" s="140" t="s">
        <v>129</v>
      </c>
      <c r="H5" s="138" t="s">
        <v>130</v>
      </c>
      <c r="I5" s="138" t="s">
        <v>131</v>
      </c>
      <c r="J5" s="135" t="s">
        <v>68</v>
      </c>
    </row>
    <row r="6" spans="1:10" ht="23.25">
      <c r="A6" s="73" t="s">
        <v>96</v>
      </c>
      <c r="B6" s="73" t="s">
        <v>97</v>
      </c>
      <c r="C6" s="235"/>
      <c r="D6" s="232"/>
      <c r="E6" s="232"/>
      <c r="F6" s="232"/>
      <c r="G6" s="232"/>
      <c r="H6" s="232"/>
      <c r="I6" s="232"/>
      <c r="J6" s="232"/>
    </row>
    <row r="7" spans="1:10" ht="23.25">
      <c r="A7" s="75"/>
      <c r="B7" s="75" t="s">
        <v>98</v>
      </c>
      <c r="C7" s="371" t="s">
        <v>175</v>
      </c>
      <c r="D7" s="76">
        <v>1425300</v>
      </c>
      <c r="E7" s="76">
        <v>700460</v>
      </c>
      <c r="F7" s="76"/>
      <c r="G7" s="76"/>
      <c r="H7" s="76"/>
      <c r="I7" s="76"/>
      <c r="J7" s="76">
        <f>SUM(E7:I7)</f>
        <v>700460</v>
      </c>
    </row>
    <row r="8" spans="1:10" ht="23.25">
      <c r="A8" s="75" t="s">
        <v>99</v>
      </c>
      <c r="B8" s="139" t="s">
        <v>45</v>
      </c>
      <c r="C8" s="371" t="s">
        <v>175</v>
      </c>
      <c r="D8" s="76">
        <f>159025</f>
        <v>159025</v>
      </c>
      <c r="E8" s="76">
        <v>135025</v>
      </c>
      <c r="F8" s="76"/>
      <c r="G8" s="76"/>
      <c r="H8" s="76"/>
      <c r="I8" s="76"/>
      <c r="J8" s="76">
        <f aca="true" t="shared" si="0" ref="J8:J17">SUM(E8:I8)</f>
        <v>135025</v>
      </c>
    </row>
    <row r="9" spans="1:10" ht="23.25">
      <c r="A9" s="75"/>
      <c r="B9" s="139" t="s">
        <v>46</v>
      </c>
      <c r="C9" s="371" t="s">
        <v>175</v>
      </c>
      <c r="D9" s="76">
        <f>30000+396000</f>
        <v>426000</v>
      </c>
      <c r="E9" s="76">
        <v>13258</v>
      </c>
      <c r="F9" s="76"/>
      <c r="G9" s="76"/>
      <c r="H9" s="76">
        <v>386150</v>
      </c>
      <c r="I9" s="76"/>
      <c r="J9" s="76">
        <f t="shared" si="0"/>
        <v>399408</v>
      </c>
    </row>
    <row r="10" spans="1:10" ht="23.25">
      <c r="A10" s="75"/>
      <c r="B10" s="139" t="s">
        <v>47</v>
      </c>
      <c r="C10" s="371" t="s">
        <v>175</v>
      </c>
      <c r="D10" s="76">
        <f>45000+40000</f>
        <v>85000</v>
      </c>
      <c r="E10" s="76">
        <v>46566</v>
      </c>
      <c r="F10" s="76"/>
      <c r="G10" s="76"/>
      <c r="H10" s="76"/>
      <c r="I10" s="76"/>
      <c r="J10" s="76">
        <f t="shared" si="0"/>
        <v>46566</v>
      </c>
    </row>
    <row r="11" spans="1:10" ht="23.25">
      <c r="A11" s="75"/>
      <c r="B11" s="139" t="s">
        <v>100</v>
      </c>
      <c r="C11" s="371" t="s">
        <v>175</v>
      </c>
      <c r="D11" s="76"/>
      <c r="E11" s="76">
        <v>0</v>
      </c>
      <c r="F11" s="76"/>
      <c r="G11" s="76"/>
      <c r="H11" s="76"/>
      <c r="I11" s="76"/>
      <c r="J11" s="76">
        <f t="shared" si="0"/>
        <v>0</v>
      </c>
    </row>
    <row r="12" spans="1:10" ht="23.25">
      <c r="A12" s="75" t="s">
        <v>102</v>
      </c>
      <c r="B12" s="139" t="s">
        <v>101</v>
      </c>
      <c r="C12" s="371" t="s">
        <v>175</v>
      </c>
      <c r="D12" s="76">
        <v>63800</v>
      </c>
      <c r="E12" s="76">
        <v>0</v>
      </c>
      <c r="F12" s="76"/>
      <c r="G12" s="76"/>
      <c r="H12" s="76">
        <v>0</v>
      </c>
      <c r="I12" s="76"/>
      <c r="J12" s="76">
        <f t="shared" si="0"/>
        <v>0</v>
      </c>
    </row>
    <row r="13" spans="1:10" ht="23.25">
      <c r="A13" s="75"/>
      <c r="B13" s="139" t="s">
        <v>50</v>
      </c>
      <c r="C13" s="371" t="s">
        <v>175</v>
      </c>
      <c r="D13" s="76">
        <f>1305500+677900+740000+295377+245900</f>
        <v>3264677</v>
      </c>
      <c r="E13" s="76"/>
      <c r="F13" s="76">
        <f>1825500+962492</f>
        <v>2787992</v>
      </c>
      <c r="G13" s="76"/>
      <c r="H13" s="76">
        <v>245900</v>
      </c>
      <c r="I13" s="76"/>
      <c r="J13" s="76">
        <f t="shared" si="0"/>
        <v>3033892</v>
      </c>
    </row>
    <row r="14" spans="1:10" ht="23.25">
      <c r="A14" s="75"/>
      <c r="B14" s="139" t="s">
        <v>50</v>
      </c>
      <c r="C14" s="371" t="s">
        <v>456</v>
      </c>
      <c r="D14" s="76">
        <v>4533580</v>
      </c>
      <c r="E14" s="76"/>
      <c r="F14" s="76">
        <v>4533580</v>
      </c>
      <c r="G14" s="76"/>
      <c r="H14" s="76"/>
      <c r="I14" s="76"/>
      <c r="J14" s="76">
        <f t="shared" si="0"/>
        <v>4533580</v>
      </c>
    </row>
    <row r="15" spans="1:10" ht="23.25">
      <c r="A15" s="75" t="s">
        <v>103</v>
      </c>
      <c r="B15" s="139" t="s">
        <v>48</v>
      </c>
      <c r="C15" s="371" t="s">
        <v>175</v>
      </c>
      <c r="D15" s="76"/>
      <c r="E15" s="76"/>
      <c r="F15" s="76"/>
      <c r="G15" s="76"/>
      <c r="H15" s="76"/>
      <c r="I15" s="76"/>
      <c r="J15" s="76">
        <f t="shared" si="0"/>
        <v>0</v>
      </c>
    </row>
    <row r="16" spans="1:10" ht="23.25">
      <c r="A16" s="75" t="s">
        <v>104</v>
      </c>
      <c r="B16" s="139" t="s">
        <v>28</v>
      </c>
      <c r="C16" s="371" t="s">
        <v>175</v>
      </c>
      <c r="D16" s="76">
        <f>560000+150000</f>
        <v>710000</v>
      </c>
      <c r="E16" s="76"/>
      <c r="F16" s="76">
        <v>673713.19</v>
      </c>
      <c r="G16" s="76"/>
      <c r="H16" s="76"/>
      <c r="I16" s="76"/>
      <c r="J16" s="76">
        <f t="shared" si="0"/>
        <v>673713.19</v>
      </c>
    </row>
    <row r="17" spans="1:10" ht="24" thickBot="1">
      <c r="A17" s="458" t="s">
        <v>68</v>
      </c>
      <c r="B17" s="458"/>
      <c r="C17" s="458"/>
      <c r="D17" s="137">
        <f aca="true" t="shared" si="1" ref="D17:I17">SUM(D6:D16)</f>
        <v>10667382</v>
      </c>
      <c r="E17" s="137">
        <f t="shared" si="1"/>
        <v>895309</v>
      </c>
      <c r="F17" s="137">
        <f t="shared" si="1"/>
        <v>7995285.1899999995</v>
      </c>
      <c r="G17" s="137">
        <f t="shared" si="1"/>
        <v>0</v>
      </c>
      <c r="H17" s="137">
        <f t="shared" si="1"/>
        <v>632050</v>
      </c>
      <c r="I17" s="137">
        <f t="shared" si="1"/>
        <v>0</v>
      </c>
      <c r="J17" s="137">
        <f t="shared" si="0"/>
        <v>9522644.19</v>
      </c>
    </row>
    <row r="18" ht="15.75" customHeight="1" thickTop="1"/>
    <row r="19" ht="23.25">
      <c r="A19" s="60" t="s">
        <v>95</v>
      </c>
    </row>
    <row r="22" spans="1:6" ht="23.25">
      <c r="A22" s="67"/>
      <c r="B22" s="67"/>
      <c r="C22" s="67"/>
      <c r="D22" s="67"/>
      <c r="E22" s="68"/>
      <c r="F22" s="68"/>
    </row>
    <row r="23" spans="1:6" ht="23.25">
      <c r="A23" s="67"/>
      <c r="B23" s="67"/>
      <c r="C23" s="67"/>
      <c r="D23" s="67"/>
      <c r="E23" s="68"/>
      <c r="F23" s="68"/>
    </row>
  </sheetData>
  <sheetProtection/>
  <mergeCells count="4">
    <mergeCell ref="A1:J1"/>
    <mergeCell ref="A2:J2"/>
    <mergeCell ref="A3:J3"/>
    <mergeCell ref="A17:C17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3" width="20.421875" style="59" customWidth="1"/>
    <col min="4" max="4" width="16.421875" style="59" customWidth="1"/>
    <col min="5" max="5" width="20.28125" style="59" customWidth="1"/>
    <col min="6" max="6" width="18.8515625" style="59" customWidth="1"/>
    <col min="7" max="7" width="18.421875" style="59" customWidth="1"/>
    <col min="8" max="16384" width="9.00390625" style="59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3.25">
      <c r="A2" s="459" t="s">
        <v>132</v>
      </c>
      <c r="B2" s="459"/>
      <c r="C2" s="459"/>
      <c r="D2" s="459"/>
      <c r="E2" s="459"/>
      <c r="F2" s="459"/>
      <c r="G2" s="459"/>
    </row>
    <row r="3" spans="1:7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</row>
    <row r="4" ht="18.75" customHeight="1"/>
    <row r="5" spans="1:7" s="61" customFormat="1" ht="69.75">
      <c r="A5" s="121" t="s">
        <v>94</v>
      </c>
      <c r="B5" s="121" t="s">
        <v>79</v>
      </c>
      <c r="C5" s="121" t="s">
        <v>76</v>
      </c>
      <c r="D5" s="122" t="s">
        <v>29</v>
      </c>
      <c r="E5" s="122" t="s">
        <v>133</v>
      </c>
      <c r="F5" s="122" t="s">
        <v>134</v>
      </c>
      <c r="G5" s="121" t="s">
        <v>68</v>
      </c>
    </row>
    <row r="6" spans="1:7" s="61" customFormat="1" ht="23.25">
      <c r="A6" s="73" t="s">
        <v>96</v>
      </c>
      <c r="B6" s="73" t="s">
        <v>97</v>
      </c>
      <c r="C6" s="237"/>
      <c r="D6" s="238"/>
      <c r="E6" s="239"/>
      <c r="F6" s="239"/>
      <c r="G6" s="240"/>
    </row>
    <row r="7" spans="1:7" s="61" customFormat="1" ht="23.25">
      <c r="A7" s="75"/>
      <c r="B7" s="75" t="s">
        <v>98</v>
      </c>
      <c r="C7" s="227"/>
      <c r="D7" s="228"/>
      <c r="E7" s="229">
        <v>0</v>
      </c>
      <c r="F7" s="229">
        <v>0</v>
      </c>
      <c r="G7" s="230">
        <f>SUM(E7:F7)</f>
        <v>0</v>
      </c>
    </row>
    <row r="8" spans="1:7" ht="23.25">
      <c r="A8" s="75" t="s">
        <v>99</v>
      </c>
      <c r="B8" s="139" t="s">
        <v>45</v>
      </c>
      <c r="C8" s="75"/>
      <c r="D8" s="76"/>
      <c r="E8" s="76">
        <v>0</v>
      </c>
      <c r="F8" s="76">
        <v>0</v>
      </c>
      <c r="G8" s="230">
        <f aca="true" t="shared" si="0" ref="G8:G15">SUM(E8:F8)</f>
        <v>0</v>
      </c>
    </row>
    <row r="9" spans="1:7" ht="23.25">
      <c r="A9" s="75"/>
      <c r="B9" s="139" t="s">
        <v>46</v>
      </c>
      <c r="C9" s="371" t="s">
        <v>175</v>
      </c>
      <c r="D9" s="76">
        <f>285000-32750</f>
        <v>252250</v>
      </c>
      <c r="E9" s="76">
        <v>176125</v>
      </c>
      <c r="F9" s="76"/>
      <c r="G9" s="230">
        <f t="shared" si="0"/>
        <v>176125</v>
      </c>
    </row>
    <row r="10" spans="1:7" ht="23.25">
      <c r="A10" s="75"/>
      <c r="B10" s="139" t="s">
        <v>47</v>
      </c>
      <c r="C10" s="75"/>
      <c r="D10" s="76"/>
      <c r="E10" s="76"/>
      <c r="F10" s="76"/>
      <c r="G10" s="230">
        <f t="shared" si="0"/>
        <v>0</v>
      </c>
    </row>
    <row r="11" spans="1:7" ht="23.25">
      <c r="A11" s="75"/>
      <c r="B11" s="139" t="s">
        <v>100</v>
      </c>
      <c r="C11" s="75"/>
      <c r="D11" s="76"/>
      <c r="E11" s="76"/>
      <c r="F11" s="76"/>
      <c r="G11" s="230">
        <f t="shared" si="0"/>
        <v>0</v>
      </c>
    </row>
    <row r="12" spans="1:7" ht="23.25">
      <c r="A12" s="75" t="s">
        <v>102</v>
      </c>
      <c r="B12" s="139" t="s">
        <v>101</v>
      </c>
      <c r="C12" s="139"/>
      <c r="D12" s="76"/>
      <c r="E12" s="76"/>
      <c r="F12" s="76"/>
      <c r="G12" s="230">
        <f t="shared" si="0"/>
        <v>0</v>
      </c>
    </row>
    <row r="13" spans="1:7" ht="23.25">
      <c r="A13" s="75"/>
      <c r="B13" s="139" t="s">
        <v>50</v>
      </c>
      <c r="C13" s="139"/>
      <c r="D13" s="76"/>
      <c r="E13" s="76"/>
      <c r="F13" s="76"/>
      <c r="G13" s="230">
        <f t="shared" si="0"/>
        <v>0</v>
      </c>
    </row>
    <row r="14" spans="1:7" ht="23.25">
      <c r="A14" s="75" t="s">
        <v>103</v>
      </c>
      <c r="B14" s="139" t="s">
        <v>48</v>
      </c>
      <c r="C14" s="139"/>
      <c r="D14" s="76"/>
      <c r="E14" s="76"/>
      <c r="F14" s="76">
        <v>0</v>
      </c>
      <c r="G14" s="231">
        <f t="shared" si="0"/>
        <v>0</v>
      </c>
    </row>
    <row r="15" spans="1:7" ht="23.25">
      <c r="A15" s="75" t="s">
        <v>104</v>
      </c>
      <c r="B15" s="139" t="s">
        <v>28</v>
      </c>
      <c r="C15" s="139"/>
      <c r="D15" s="76"/>
      <c r="E15" s="76"/>
      <c r="F15" s="76"/>
      <c r="G15" s="230">
        <f t="shared" si="0"/>
        <v>0</v>
      </c>
    </row>
    <row r="16" spans="1:7" ht="24" thickBot="1">
      <c r="A16" s="458" t="s">
        <v>68</v>
      </c>
      <c r="B16" s="458"/>
      <c r="C16" s="458"/>
      <c r="D16" s="80">
        <f>SUM(D8:D15)</f>
        <v>252250</v>
      </c>
      <c r="E16" s="80">
        <f>SUM(E8:E15)</f>
        <v>176125</v>
      </c>
      <c r="F16" s="80">
        <f>SUM(F8:F15)</f>
        <v>0</v>
      </c>
      <c r="G16" s="80">
        <f>SUM(G8:G15)</f>
        <v>176125</v>
      </c>
    </row>
    <row r="17" ht="16.5" customHeight="1" thickTop="1"/>
    <row r="18" ht="23.25">
      <c r="A18" s="60" t="s">
        <v>95</v>
      </c>
    </row>
    <row r="20" spans="1:6" ht="23.25">
      <c r="A20" s="67"/>
      <c r="B20" s="67"/>
      <c r="C20" s="67"/>
      <c r="D20" s="67"/>
      <c r="E20" s="68"/>
      <c r="F20" s="68"/>
    </row>
    <row r="21" spans="1:6" ht="23.25">
      <c r="A21" s="67"/>
      <c r="B21" s="67"/>
      <c r="C21" s="67"/>
      <c r="D21" s="67"/>
      <c r="E21" s="68"/>
      <c r="F21" s="68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5.7109375" style="59" customWidth="1"/>
    <col min="2" max="2" width="21.57421875" style="59" customWidth="1"/>
    <col min="3" max="3" width="15.8515625" style="59" customWidth="1"/>
    <col min="4" max="4" width="13.140625" style="59" customWidth="1"/>
    <col min="5" max="5" width="15.421875" style="59" customWidth="1"/>
    <col min="6" max="6" width="14.00390625" style="59" customWidth="1"/>
    <col min="7" max="7" width="13.8515625" style="59" customWidth="1"/>
    <col min="8" max="8" width="15.57421875" style="59" customWidth="1"/>
    <col min="9" max="9" width="12.57421875" style="59" customWidth="1"/>
    <col min="10" max="16384" width="9.00390625" style="59" customWidth="1"/>
  </cols>
  <sheetData>
    <row r="1" spans="1:9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</row>
    <row r="2" spans="1:9" ht="23.25">
      <c r="A2" s="459" t="s">
        <v>135</v>
      </c>
      <c r="B2" s="459"/>
      <c r="C2" s="459"/>
      <c r="D2" s="459"/>
      <c r="E2" s="459"/>
      <c r="F2" s="459"/>
      <c r="G2" s="459"/>
      <c r="H2" s="459"/>
      <c r="I2" s="459"/>
    </row>
    <row r="3" spans="1:9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  <c r="I3" s="459"/>
    </row>
    <row r="4" ht="20.25" customHeight="1"/>
    <row r="5" spans="1:9" s="61" customFormat="1" ht="93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136</v>
      </c>
      <c r="F5" s="138" t="s">
        <v>137</v>
      </c>
      <c r="G5" s="138" t="s">
        <v>138</v>
      </c>
      <c r="H5" s="138" t="s">
        <v>139</v>
      </c>
      <c r="I5" s="135" t="s">
        <v>68</v>
      </c>
    </row>
    <row r="6" spans="1:9" ht="21" customHeight="1">
      <c r="A6" s="73" t="s">
        <v>96</v>
      </c>
      <c r="B6" s="73" t="s">
        <v>97</v>
      </c>
      <c r="C6" s="233"/>
      <c r="D6" s="232"/>
      <c r="E6" s="232"/>
      <c r="F6" s="232"/>
      <c r="G6" s="232"/>
      <c r="H6" s="232"/>
      <c r="I6" s="232"/>
    </row>
    <row r="7" spans="1:9" ht="21" customHeight="1">
      <c r="A7" s="75"/>
      <c r="B7" s="75" t="s">
        <v>98</v>
      </c>
      <c r="C7" s="75"/>
      <c r="D7" s="76"/>
      <c r="E7" s="76"/>
      <c r="F7" s="76"/>
      <c r="G7" s="76"/>
      <c r="H7" s="76"/>
      <c r="I7" s="76">
        <f>SUM(E7:H7)</f>
        <v>0</v>
      </c>
    </row>
    <row r="8" spans="1:9" ht="21" customHeight="1">
      <c r="A8" s="75" t="s">
        <v>99</v>
      </c>
      <c r="B8" s="139" t="s">
        <v>45</v>
      </c>
      <c r="C8" s="75"/>
      <c r="D8" s="76"/>
      <c r="E8" s="76"/>
      <c r="F8" s="76"/>
      <c r="G8" s="76"/>
      <c r="H8" s="76"/>
      <c r="I8" s="76">
        <f aca="true" t="shared" si="0" ref="I8:I15">SUM(E8:H8)</f>
        <v>0</v>
      </c>
    </row>
    <row r="9" spans="1:9" ht="21" customHeight="1">
      <c r="A9" s="75"/>
      <c r="B9" s="139" t="s">
        <v>46</v>
      </c>
      <c r="C9" s="371" t="s">
        <v>175</v>
      </c>
      <c r="D9" s="76">
        <f>100000-100000+240000-120000</f>
        <v>120000</v>
      </c>
      <c r="E9" s="76"/>
      <c r="F9" s="76">
        <v>0</v>
      </c>
      <c r="G9" s="76">
        <v>57330</v>
      </c>
      <c r="H9" s="76"/>
      <c r="I9" s="76">
        <f t="shared" si="0"/>
        <v>57330</v>
      </c>
    </row>
    <row r="10" spans="1:9" ht="21" customHeight="1">
      <c r="A10" s="75"/>
      <c r="B10" s="139" t="s">
        <v>47</v>
      </c>
      <c r="C10" s="75"/>
      <c r="D10" s="76"/>
      <c r="E10" s="76"/>
      <c r="F10" s="76"/>
      <c r="G10" s="76"/>
      <c r="H10" s="76">
        <v>0</v>
      </c>
      <c r="I10" s="76">
        <f t="shared" si="0"/>
        <v>0</v>
      </c>
    </row>
    <row r="11" spans="1:9" ht="21" customHeight="1">
      <c r="A11" s="75"/>
      <c r="B11" s="139" t="s">
        <v>100</v>
      </c>
      <c r="C11" s="75"/>
      <c r="D11" s="76"/>
      <c r="E11" s="76"/>
      <c r="F11" s="76"/>
      <c r="G11" s="76"/>
      <c r="H11" s="76"/>
      <c r="I11" s="76">
        <f t="shared" si="0"/>
        <v>0</v>
      </c>
    </row>
    <row r="12" spans="1:9" ht="21" customHeight="1">
      <c r="A12" s="75" t="s">
        <v>102</v>
      </c>
      <c r="B12" s="139" t="s">
        <v>101</v>
      </c>
      <c r="C12" s="139"/>
      <c r="D12" s="76"/>
      <c r="E12" s="76"/>
      <c r="F12" s="76"/>
      <c r="G12" s="76"/>
      <c r="H12" s="76"/>
      <c r="I12" s="76">
        <f t="shared" si="0"/>
        <v>0</v>
      </c>
    </row>
    <row r="13" spans="1:9" ht="21" customHeight="1">
      <c r="A13" s="75"/>
      <c r="B13" s="139" t="s">
        <v>50</v>
      </c>
      <c r="C13" s="139"/>
      <c r="D13" s="76"/>
      <c r="E13" s="76"/>
      <c r="F13" s="76"/>
      <c r="G13" s="76"/>
      <c r="H13" s="76"/>
      <c r="I13" s="76">
        <f t="shared" si="0"/>
        <v>0</v>
      </c>
    </row>
    <row r="14" spans="1:9" ht="21" customHeight="1">
      <c r="A14" s="75" t="s">
        <v>103</v>
      </c>
      <c r="B14" s="139" t="s">
        <v>48</v>
      </c>
      <c r="C14" s="139"/>
      <c r="D14" s="76"/>
      <c r="E14" s="76"/>
      <c r="F14" s="76"/>
      <c r="G14" s="76"/>
      <c r="H14" s="76"/>
      <c r="I14" s="76">
        <f t="shared" si="0"/>
        <v>0</v>
      </c>
    </row>
    <row r="15" spans="1:9" ht="21" customHeight="1">
      <c r="A15" s="75" t="s">
        <v>104</v>
      </c>
      <c r="B15" s="139" t="s">
        <v>28</v>
      </c>
      <c r="C15" s="139"/>
      <c r="D15" s="76"/>
      <c r="E15" s="76"/>
      <c r="F15" s="76"/>
      <c r="G15" s="76"/>
      <c r="H15" s="76"/>
      <c r="I15" s="76">
        <f t="shared" si="0"/>
        <v>0</v>
      </c>
    </row>
    <row r="16" spans="1:9" ht="24" thickBot="1">
      <c r="A16" s="458" t="s">
        <v>68</v>
      </c>
      <c r="B16" s="458"/>
      <c r="C16" s="458"/>
      <c r="D16" s="137">
        <f aca="true" t="shared" si="1" ref="D16:I16">SUM(D6:D15)</f>
        <v>120000</v>
      </c>
      <c r="E16" s="137">
        <f t="shared" si="1"/>
        <v>0</v>
      </c>
      <c r="F16" s="137">
        <f t="shared" si="1"/>
        <v>0</v>
      </c>
      <c r="G16" s="137">
        <f t="shared" si="1"/>
        <v>57330</v>
      </c>
      <c r="H16" s="137">
        <f t="shared" si="1"/>
        <v>0</v>
      </c>
      <c r="I16" s="137">
        <f t="shared" si="1"/>
        <v>57330</v>
      </c>
    </row>
    <row r="17" ht="18" customHeight="1" thickTop="1"/>
    <row r="18" ht="23.25">
      <c r="A18" s="60" t="s">
        <v>95</v>
      </c>
    </row>
    <row r="19" ht="23.25">
      <c r="A19" s="60"/>
    </row>
    <row r="21" spans="1:6" ht="23.25">
      <c r="A21" s="67"/>
      <c r="B21" s="67"/>
      <c r="C21" s="67"/>
      <c r="D21" s="67"/>
      <c r="E21" s="68"/>
      <c r="F21" s="68"/>
    </row>
    <row r="22" spans="1:6" ht="23.25">
      <c r="A22" s="67"/>
      <c r="B22" s="67"/>
      <c r="C22" s="67"/>
      <c r="D22" s="67"/>
      <c r="E22" s="68"/>
      <c r="F22" s="68"/>
    </row>
  </sheetData>
  <sheetProtection/>
  <mergeCells count="4">
    <mergeCell ref="A1:I1"/>
    <mergeCell ref="A2:I2"/>
    <mergeCell ref="A3:I3"/>
    <mergeCell ref="A16:C16"/>
  </mergeCells>
  <printOptions/>
  <pageMargins left="0.31496062992125984" right="0.31496062992125984" top="0.35433070866141736" bottom="0.35433070866141736" header="0.2755905511811024" footer="0.31496062992125984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5.7109375" style="59" customWidth="1"/>
    <col min="2" max="2" width="22.421875" style="59" customWidth="1"/>
    <col min="3" max="3" width="17.7109375" style="59" customWidth="1"/>
    <col min="4" max="4" width="16.140625" style="59" customWidth="1"/>
    <col min="5" max="5" width="20.421875" style="59" customWidth="1"/>
    <col min="6" max="6" width="17.8515625" style="59" customWidth="1"/>
    <col min="7" max="7" width="14.7109375" style="59" customWidth="1"/>
    <col min="8" max="16384" width="9.00390625" style="59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3.25">
      <c r="A2" s="459" t="s">
        <v>140</v>
      </c>
      <c r="B2" s="459"/>
      <c r="C2" s="459"/>
      <c r="D2" s="459"/>
      <c r="E2" s="459"/>
      <c r="F2" s="459"/>
      <c r="G2" s="459"/>
    </row>
    <row r="3" spans="1:7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</row>
    <row r="5" spans="1:7" s="61" customFormat="1" ht="69.75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141</v>
      </c>
      <c r="F5" s="138" t="s">
        <v>142</v>
      </c>
      <c r="G5" s="135" t="s">
        <v>68</v>
      </c>
    </row>
    <row r="6" spans="1:7" ht="19.5" customHeight="1">
      <c r="A6" s="73" t="s">
        <v>96</v>
      </c>
      <c r="B6" s="73" t="s">
        <v>97</v>
      </c>
      <c r="C6" s="233"/>
      <c r="D6" s="232"/>
      <c r="E6" s="232"/>
      <c r="F6" s="232"/>
      <c r="G6" s="232"/>
    </row>
    <row r="7" spans="1:7" ht="19.5" customHeight="1">
      <c r="A7" s="75"/>
      <c r="B7" s="75" t="s">
        <v>98</v>
      </c>
      <c r="C7" s="75"/>
      <c r="D7" s="76"/>
      <c r="E7" s="76"/>
      <c r="F7" s="76"/>
      <c r="G7" s="76">
        <f aca="true" t="shared" si="0" ref="G7:G15">SUM(E7:F7)</f>
        <v>0</v>
      </c>
    </row>
    <row r="8" spans="1:7" ht="19.5" customHeight="1">
      <c r="A8" s="75" t="s">
        <v>99</v>
      </c>
      <c r="B8" s="139" t="s">
        <v>45</v>
      </c>
      <c r="C8" s="75"/>
      <c r="D8" s="76"/>
      <c r="E8" s="76"/>
      <c r="F8" s="76"/>
      <c r="G8" s="76">
        <f t="shared" si="0"/>
        <v>0</v>
      </c>
    </row>
    <row r="9" spans="1:7" ht="19.5" customHeight="1">
      <c r="A9" s="75"/>
      <c r="B9" s="139" t="s">
        <v>46</v>
      </c>
      <c r="C9" s="75"/>
      <c r="D9" s="76"/>
      <c r="E9" s="76"/>
      <c r="F9" s="76"/>
      <c r="G9" s="76">
        <f t="shared" si="0"/>
        <v>0</v>
      </c>
    </row>
    <row r="10" spans="1:7" ht="19.5" customHeight="1">
      <c r="A10" s="75"/>
      <c r="B10" s="139" t="s">
        <v>47</v>
      </c>
      <c r="C10" s="75"/>
      <c r="D10" s="76"/>
      <c r="E10" s="76"/>
      <c r="F10" s="76"/>
      <c r="G10" s="76">
        <f t="shared" si="0"/>
        <v>0</v>
      </c>
    </row>
    <row r="11" spans="1:7" ht="19.5" customHeight="1">
      <c r="A11" s="75"/>
      <c r="B11" s="139" t="s">
        <v>100</v>
      </c>
      <c r="C11" s="75"/>
      <c r="D11" s="76"/>
      <c r="E11" s="76"/>
      <c r="F11" s="76"/>
      <c r="G11" s="76">
        <f t="shared" si="0"/>
        <v>0</v>
      </c>
    </row>
    <row r="12" spans="1:7" ht="19.5" customHeight="1">
      <c r="A12" s="75" t="s">
        <v>102</v>
      </c>
      <c r="B12" s="139" t="s">
        <v>101</v>
      </c>
      <c r="C12" s="139"/>
      <c r="D12" s="76"/>
      <c r="E12" s="76"/>
      <c r="F12" s="76"/>
      <c r="G12" s="76">
        <f t="shared" si="0"/>
        <v>0</v>
      </c>
    </row>
    <row r="13" spans="1:7" ht="19.5" customHeight="1">
      <c r="A13" s="75"/>
      <c r="B13" s="139" t="s">
        <v>50</v>
      </c>
      <c r="C13" s="139"/>
      <c r="D13" s="76"/>
      <c r="E13" s="76"/>
      <c r="F13" s="76">
        <v>0</v>
      </c>
      <c r="G13" s="76">
        <f t="shared" si="0"/>
        <v>0</v>
      </c>
    </row>
    <row r="14" spans="1:7" ht="19.5" customHeight="1">
      <c r="A14" s="75" t="s">
        <v>103</v>
      </c>
      <c r="B14" s="139" t="s">
        <v>48</v>
      </c>
      <c r="C14" s="139"/>
      <c r="D14" s="76"/>
      <c r="E14" s="76"/>
      <c r="F14" s="76"/>
      <c r="G14" s="76">
        <f t="shared" si="0"/>
        <v>0</v>
      </c>
    </row>
    <row r="15" spans="1:7" ht="19.5" customHeight="1">
      <c r="A15" s="75" t="s">
        <v>104</v>
      </c>
      <c r="B15" s="139" t="s">
        <v>28</v>
      </c>
      <c r="C15" s="139"/>
      <c r="D15" s="76"/>
      <c r="E15" s="76"/>
      <c r="F15" s="76"/>
      <c r="G15" s="136">
        <f t="shared" si="0"/>
        <v>0</v>
      </c>
    </row>
    <row r="16" spans="1:7" ht="24" thickBot="1">
      <c r="A16" s="458" t="s">
        <v>68</v>
      </c>
      <c r="B16" s="458"/>
      <c r="C16" s="458"/>
      <c r="D16" s="137">
        <f>SUM(D6:D15)</f>
        <v>0</v>
      </c>
      <c r="E16" s="137">
        <f>SUM(E6:E15)</f>
        <v>0</v>
      </c>
      <c r="F16" s="137">
        <f>SUM(F6:F15)</f>
        <v>0</v>
      </c>
      <c r="G16" s="137">
        <f>SUM(G6:G15)</f>
        <v>0</v>
      </c>
    </row>
    <row r="17" ht="24" thickTop="1"/>
    <row r="18" ht="23.25">
      <c r="A18" s="60" t="s">
        <v>95</v>
      </c>
    </row>
    <row r="20" spans="1:6" ht="23.25">
      <c r="A20" s="67"/>
      <c r="B20" s="67"/>
      <c r="C20" s="67"/>
      <c r="D20" s="67"/>
      <c r="E20" s="68"/>
      <c r="F20" s="68"/>
    </row>
    <row r="21" spans="1:6" ht="23.25">
      <c r="A21" s="67"/>
      <c r="B21" s="67"/>
      <c r="C21" s="67"/>
      <c r="D21" s="67"/>
      <c r="E21" s="68"/>
      <c r="F21" s="68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5.7109375" style="59" customWidth="1"/>
    <col min="2" max="2" width="24.7109375" style="59" customWidth="1"/>
    <col min="3" max="3" width="17.28125" style="59" customWidth="1"/>
    <col min="4" max="4" width="17.7109375" style="59" customWidth="1"/>
    <col min="5" max="5" width="19.421875" style="59" customWidth="1"/>
    <col min="6" max="6" width="21.28125" style="59" customWidth="1"/>
    <col min="7" max="7" width="16.00390625" style="59" customWidth="1"/>
    <col min="8" max="16384" width="9.00390625" style="59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3.25">
      <c r="A2" s="459" t="s">
        <v>143</v>
      </c>
      <c r="B2" s="459"/>
      <c r="C2" s="459"/>
      <c r="D2" s="459"/>
      <c r="E2" s="459"/>
      <c r="F2" s="459"/>
      <c r="G2" s="459"/>
    </row>
    <row r="3" spans="1:7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</row>
    <row r="4" ht="14.25" customHeight="1"/>
    <row r="5" spans="1:7" s="61" customFormat="1" ht="46.5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144</v>
      </c>
      <c r="F5" s="138" t="s">
        <v>145</v>
      </c>
      <c r="G5" s="135" t="s">
        <v>68</v>
      </c>
    </row>
    <row r="6" spans="1:7" ht="23.25">
      <c r="A6" s="73" t="s">
        <v>96</v>
      </c>
      <c r="B6" s="73" t="s">
        <v>97</v>
      </c>
      <c r="C6" s="73"/>
      <c r="D6" s="232"/>
      <c r="E6" s="232"/>
      <c r="F6" s="232"/>
      <c r="G6" s="232"/>
    </row>
    <row r="7" spans="1:7" ht="23.25">
      <c r="A7" s="75"/>
      <c r="B7" s="75" t="s">
        <v>98</v>
      </c>
      <c r="C7" s="75"/>
      <c r="D7" s="76"/>
      <c r="E7" s="76"/>
      <c r="F7" s="76"/>
      <c r="G7" s="76">
        <f>SUM(E7:F7)</f>
        <v>0</v>
      </c>
    </row>
    <row r="8" spans="1:7" ht="23.25">
      <c r="A8" s="75" t="s">
        <v>99</v>
      </c>
      <c r="B8" s="139" t="s">
        <v>45</v>
      </c>
      <c r="C8" s="75"/>
      <c r="D8" s="76"/>
      <c r="E8" s="76"/>
      <c r="F8" s="76"/>
      <c r="G8" s="76">
        <f aca="true" t="shared" si="0" ref="G8:G15">SUM(E8:F8)</f>
        <v>0</v>
      </c>
    </row>
    <row r="9" spans="1:7" ht="23.25">
      <c r="A9" s="75"/>
      <c r="B9" s="139" t="s">
        <v>46</v>
      </c>
      <c r="C9" s="371" t="s">
        <v>175</v>
      </c>
      <c r="D9" s="76">
        <f>100000+50000</f>
        <v>150000</v>
      </c>
      <c r="E9" s="76">
        <v>84260</v>
      </c>
      <c r="F9" s="76">
        <v>17800</v>
      </c>
      <c r="G9" s="76">
        <f t="shared" si="0"/>
        <v>102060</v>
      </c>
    </row>
    <row r="10" spans="1:7" ht="23.25">
      <c r="A10" s="75"/>
      <c r="B10" s="139" t="s">
        <v>47</v>
      </c>
      <c r="C10" s="371" t="s">
        <v>175</v>
      </c>
      <c r="D10" s="76">
        <v>20000</v>
      </c>
      <c r="E10" s="76">
        <v>0</v>
      </c>
      <c r="F10" s="76"/>
      <c r="G10" s="76">
        <f t="shared" si="0"/>
        <v>0</v>
      </c>
    </row>
    <row r="11" spans="1:7" ht="23.25">
      <c r="A11" s="75"/>
      <c r="B11" s="139" t="s">
        <v>100</v>
      </c>
      <c r="C11" s="75"/>
      <c r="D11" s="76"/>
      <c r="E11" s="76"/>
      <c r="F11" s="76"/>
      <c r="G11" s="76">
        <f t="shared" si="0"/>
        <v>0</v>
      </c>
    </row>
    <row r="12" spans="1:7" ht="23.25">
      <c r="A12" s="75" t="s">
        <v>102</v>
      </c>
      <c r="B12" s="139" t="s">
        <v>101</v>
      </c>
      <c r="C12" s="139"/>
      <c r="D12" s="76"/>
      <c r="E12" s="76"/>
      <c r="F12" s="76"/>
      <c r="G12" s="76">
        <f t="shared" si="0"/>
        <v>0</v>
      </c>
    </row>
    <row r="13" spans="1:7" ht="23.25">
      <c r="A13" s="75"/>
      <c r="B13" s="139" t="s">
        <v>50</v>
      </c>
      <c r="C13" s="139"/>
      <c r="D13" s="76"/>
      <c r="E13" s="76"/>
      <c r="F13" s="76"/>
      <c r="G13" s="76">
        <f t="shared" si="0"/>
        <v>0</v>
      </c>
    </row>
    <row r="14" spans="1:7" ht="23.25">
      <c r="A14" s="75" t="s">
        <v>103</v>
      </c>
      <c r="B14" s="139" t="s">
        <v>48</v>
      </c>
      <c r="C14" s="139"/>
      <c r="D14" s="76"/>
      <c r="E14" s="76"/>
      <c r="F14" s="76">
        <v>0</v>
      </c>
      <c r="G14" s="76">
        <f t="shared" si="0"/>
        <v>0</v>
      </c>
    </row>
    <row r="15" spans="1:7" ht="23.25">
      <c r="A15" s="75" t="s">
        <v>104</v>
      </c>
      <c r="B15" s="139" t="s">
        <v>28</v>
      </c>
      <c r="C15" s="75"/>
      <c r="D15" s="76"/>
      <c r="E15" s="76"/>
      <c r="F15" s="76"/>
      <c r="G15" s="76">
        <f t="shared" si="0"/>
        <v>0</v>
      </c>
    </row>
    <row r="16" spans="1:7" ht="24" thickBot="1">
      <c r="A16" s="458" t="s">
        <v>68</v>
      </c>
      <c r="B16" s="458"/>
      <c r="C16" s="458"/>
      <c r="D16" s="137">
        <f>SUM(D6:D15)</f>
        <v>170000</v>
      </c>
      <c r="E16" s="137">
        <f>SUM(E6:E15)</f>
        <v>84260</v>
      </c>
      <c r="F16" s="137">
        <f>SUM(F6:F15)</f>
        <v>17800</v>
      </c>
      <c r="G16" s="137">
        <f>SUM(G6:G15)</f>
        <v>102060</v>
      </c>
    </row>
    <row r="17" ht="12.75" customHeight="1" thickTop="1"/>
    <row r="18" ht="23.25">
      <c r="A18" s="60" t="s">
        <v>95</v>
      </c>
    </row>
    <row r="19" ht="21" customHeight="1"/>
    <row r="20" ht="21" customHeight="1"/>
    <row r="21" spans="1:6" ht="23.25">
      <c r="A21" s="67"/>
      <c r="B21" s="67"/>
      <c r="C21" s="67"/>
      <c r="D21" s="67"/>
      <c r="E21" s="68"/>
      <c r="F21" s="68"/>
    </row>
    <row r="22" spans="1:6" ht="23.25">
      <c r="A22" s="67"/>
      <c r="B22" s="67"/>
      <c r="C22" s="67"/>
      <c r="D22" s="67"/>
      <c r="E22" s="68"/>
      <c r="F22" s="68"/>
    </row>
  </sheetData>
  <sheetProtection/>
  <mergeCells count="4">
    <mergeCell ref="A1:G1"/>
    <mergeCell ref="A2:G2"/>
    <mergeCell ref="A3:G3"/>
    <mergeCell ref="A16:C16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7109375" style="59" customWidth="1"/>
    <col min="2" max="2" width="20.140625" style="59" customWidth="1"/>
    <col min="3" max="4" width="12.57421875" style="59" customWidth="1"/>
    <col min="5" max="5" width="19.421875" style="59" customWidth="1"/>
    <col min="6" max="7" width="16.28125" style="59" customWidth="1"/>
    <col min="8" max="8" width="12.57421875" style="59" customWidth="1"/>
    <col min="9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146</v>
      </c>
      <c r="B2" s="459"/>
      <c r="C2" s="459"/>
      <c r="D2" s="459"/>
      <c r="E2" s="459"/>
      <c r="F2" s="459"/>
      <c r="G2" s="459"/>
      <c r="H2" s="459"/>
    </row>
    <row r="3" spans="1:8" ht="23.25">
      <c r="A3" s="459" t="str">
        <f>+'ตามแผนงาน 1'!A3:F3</f>
        <v>ตั้งแต่วันที่  1  ตุลาคม 2560  ถึง  30 กันยายน 2561</v>
      </c>
      <c r="B3" s="459"/>
      <c r="C3" s="459"/>
      <c r="D3" s="459"/>
      <c r="E3" s="459"/>
      <c r="F3" s="459"/>
      <c r="G3" s="459"/>
      <c r="H3" s="459"/>
    </row>
    <row r="5" spans="1:8" s="61" customFormat="1" ht="32.25" customHeight="1">
      <c r="A5" s="135" t="s">
        <v>94</v>
      </c>
      <c r="B5" s="135" t="s">
        <v>79</v>
      </c>
      <c r="C5" s="135" t="s">
        <v>76</v>
      </c>
      <c r="D5" s="122" t="s">
        <v>29</v>
      </c>
      <c r="E5" s="140" t="s">
        <v>147</v>
      </c>
      <c r="F5" s="138" t="s">
        <v>148</v>
      </c>
      <c r="G5" s="138" t="s">
        <v>149</v>
      </c>
      <c r="H5" s="135" t="s">
        <v>68</v>
      </c>
    </row>
    <row r="6" spans="1:8" ht="23.25">
      <c r="A6" s="73" t="s">
        <v>96</v>
      </c>
      <c r="B6" s="73" t="s">
        <v>97</v>
      </c>
      <c r="C6" s="233"/>
      <c r="D6" s="232"/>
      <c r="E6" s="232"/>
      <c r="F6" s="232"/>
      <c r="G6" s="232"/>
      <c r="H6" s="232"/>
    </row>
    <row r="7" spans="1:8" ht="23.25">
      <c r="A7" s="75"/>
      <c r="B7" s="75" t="s">
        <v>98</v>
      </c>
      <c r="C7" s="75"/>
      <c r="D7" s="76"/>
      <c r="E7" s="76"/>
      <c r="F7" s="76"/>
      <c r="G7" s="76"/>
      <c r="H7" s="76">
        <f aca="true" t="shared" si="0" ref="H7:H15">SUM(E7:G7)</f>
        <v>0</v>
      </c>
    </row>
    <row r="8" spans="1:8" ht="23.25">
      <c r="A8" s="75" t="s">
        <v>99</v>
      </c>
      <c r="B8" s="139" t="s">
        <v>45</v>
      </c>
      <c r="C8" s="75"/>
      <c r="D8" s="76"/>
      <c r="E8" s="76"/>
      <c r="F8" s="76"/>
      <c r="G8" s="76"/>
      <c r="H8" s="76">
        <f t="shared" si="0"/>
        <v>0</v>
      </c>
    </row>
    <row r="9" spans="1:8" ht="23.25">
      <c r="A9" s="75"/>
      <c r="B9" s="139" t="s">
        <v>46</v>
      </c>
      <c r="C9" s="75"/>
      <c r="D9" s="76"/>
      <c r="E9" s="76"/>
      <c r="F9" s="76"/>
      <c r="G9" s="76"/>
      <c r="H9" s="76">
        <f t="shared" si="0"/>
        <v>0</v>
      </c>
    </row>
    <row r="10" spans="1:8" ht="23.25">
      <c r="A10" s="75"/>
      <c r="B10" s="139" t="s">
        <v>47</v>
      </c>
      <c r="C10" s="75"/>
      <c r="D10" s="76"/>
      <c r="E10" s="76"/>
      <c r="F10" s="76"/>
      <c r="G10" s="76"/>
      <c r="H10" s="76">
        <f t="shared" si="0"/>
        <v>0</v>
      </c>
    </row>
    <row r="11" spans="1:8" ht="23.25">
      <c r="A11" s="75"/>
      <c r="B11" s="139" t="s">
        <v>100</v>
      </c>
      <c r="C11" s="75"/>
      <c r="D11" s="76"/>
      <c r="E11" s="76"/>
      <c r="F11" s="76"/>
      <c r="G11" s="76"/>
      <c r="H11" s="76">
        <f t="shared" si="0"/>
        <v>0</v>
      </c>
    </row>
    <row r="12" spans="1:8" ht="23.25">
      <c r="A12" s="75" t="s">
        <v>102</v>
      </c>
      <c r="B12" s="139" t="s">
        <v>101</v>
      </c>
      <c r="C12" s="139"/>
      <c r="D12" s="76"/>
      <c r="E12" s="76"/>
      <c r="F12" s="76"/>
      <c r="G12" s="76">
        <v>0</v>
      </c>
      <c r="H12" s="76">
        <f t="shared" si="0"/>
        <v>0</v>
      </c>
    </row>
    <row r="13" spans="1:8" ht="23.25">
      <c r="A13" s="75"/>
      <c r="B13" s="139" t="s">
        <v>50</v>
      </c>
      <c r="C13" s="139"/>
      <c r="D13" s="76"/>
      <c r="E13" s="76"/>
      <c r="F13" s="76"/>
      <c r="G13" s="76"/>
      <c r="H13" s="76">
        <f t="shared" si="0"/>
        <v>0</v>
      </c>
    </row>
    <row r="14" spans="1:8" ht="23.25">
      <c r="A14" s="75" t="s">
        <v>103</v>
      </c>
      <c r="B14" s="139" t="s">
        <v>48</v>
      </c>
      <c r="C14" s="139"/>
      <c r="D14" s="76"/>
      <c r="E14" s="76"/>
      <c r="F14" s="76"/>
      <c r="G14" s="76"/>
      <c r="H14" s="76">
        <f t="shared" si="0"/>
        <v>0</v>
      </c>
    </row>
    <row r="15" spans="1:8" ht="23.25">
      <c r="A15" s="75" t="s">
        <v>104</v>
      </c>
      <c r="B15" s="139" t="s">
        <v>28</v>
      </c>
      <c r="C15" s="139"/>
      <c r="D15" s="76"/>
      <c r="E15" s="76"/>
      <c r="F15" s="76"/>
      <c r="G15" s="76"/>
      <c r="H15" s="136">
        <f t="shared" si="0"/>
        <v>0</v>
      </c>
    </row>
    <row r="16" spans="1:8" ht="24" thickBot="1">
      <c r="A16" s="458" t="s">
        <v>68</v>
      </c>
      <c r="B16" s="458"/>
      <c r="C16" s="458"/>
      <c r="D16" s="137">
        <f>SUM(D6:D15)</f>
        <v>0</v>
      </c>
      <c r="E16" s="137">
        <f>SUM(E6:E15)</f>
        <v>0</v>
      </c>
      <c r="F16" s="137">
        <f>SUM(F6:F15)</f>
        <v>0</v>
      </c>
      <c r="G16" s="137">
        <f>SUM(G6:G15)</f>
        <v>0</v>
      </c>
      <c r="H16" s="137">
        <f>SUM(H6:H15)</f>
        <v>0</v>
      </c>
    </row>
    <row r="17" ht="24" thickTop="1"/>
    <row r="18" ht="23.25">
      <c r="A18" s="60" t="s">
        <v>95</v>
      </c>
    </row>
  </sheetData>
  <sheetProtection/>
  <mergeCells count="4">
    <mergeCell ref="A1:H1"/>
    <mergeCell ref="A2:H2"/>
    <mergeCell ref="A3:H3"/>
    <mergeCell ref="A16:C1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view="pageBreakPreview" zoomScale="80" zoomScaleSheetLayoutView="80" zoomScalePageLayoutView="0" workbookViewId="0" topLeftCell="B4">
      <selection activeCell="E11" sqref="E11"/>
    </sheetView>
  </sheetViews>
  <sheetFormatPr defaultColWidth="9.140625" defaultRowHeight="15"/>
  <cols>
    <col min="1" max="1" width="10.28125" style="145" customWidth="1"/>
    <col min="2" max="2" width="22.140625" style="145" customWidth="1"/>
    <col min="3" max="3" width="11.7109375" style="145" customWidth="1"/>
    <col min="4" max="4" width="13.421875" style="145" customWidth="1"/>
    <col min="5" max="5" width="12.57421875" style="145" customWidth="1"/>
    <col min="6" max="6" width="13.57421875" style="145" customWidth="1"/>
    <col min="7" max="8" width="11.00390625" style="145" customWidth="1"/>
    <col min="9" max="11" width="12.57421875" style="145" customWidth="1"/>
    <col min="12" max="12" width="10.7109375" style="145" customWidth="1"/>
    <col min="13" max="13" width="12.57421875" style="145" customWidth="1"/>
    <col min="14" max="14" width="9.00390625" style="145" customWidth="1"/>
    <col min="15" max="16" width="13.28125" style="145" customWidth="1"/>
    <col min="17" max="16384" width="9.00390625" style="145" customWidth="1"/>
  </cols>
  <sheetData>
    <row r="1" spans="1:16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21.75">
      <c r="A2" s="486" t="s">
        <v>150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</row>
    <row r="3" spans="1:16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</row>
    <row r="5" spans="1:16" ht="21.75">
      <c r="A5" s="485" t="s">
        <v>94</v>
      </c>
      <c r="B5" s="485" t="s">
        <v>79</v>
      </c>
      <c r="C5" s="485" t="s">
        <v>76</v>
      </c>
      <c r="D5" s="485" t="s">
        <v>77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</row>
    <row r="6" spans="1:16" s="150" customFormat="1" ht="108.75">
      <c r="A6" s="485"/>
      <c r="B6" s="485"/>
      <c r="C6" s="485"/>
      <c r="D6" s="146" t="s">
        <v>151</v>
      </c>
      <c r="E6" s="146" t="s">
        <v>152</v>
      </c>
      <c r="F6" s="147" t="s">
        <v>153</v>
      </c>
      <c r="G6" s="146" t="s">
        <v>174</v>
      </c>
      <c r="H6" s="146" t="s">
        <v>154</v>
      </c>
      <c r="I6" s="146" t="s">
        <v>155</v>
      </c>
      <c r="J6" s="146" t="s">
        <v>156</v>
      </c>
      <c r="K6" s="146" t="s">
        <v>157</v>
      </c>
      <c r="L6" s="146" t="s">
        <v>158</v>
      </c>
      <c r="M6" s="146" t="s">
        <v>159</v>
      </c>
      <c r="N6" s="146" t="s">
        <v>160</v>
      </c>
      <c r="O6" s="148" t="s">
        <v>49</v>
      </c>
      <c r="P6" s="149" t="s">
        <v>68</v>
      </c>
    </row>
    <row r="7" spans="1:16" s="150" customFormat="1" ht="27.75" customHeight="1">
      <c r="A7" s="151" t="s">
        <v>33</v>
      </c>
      <c r="B7" s="152"/>
      <c r="C7" s="153"/>
      <c r="D7" s="154"/>
      <c r="E7" s="154"/>
      <c r="F7" s="155"/>
      <c r="G7" s="154"/>
      <c r="H7" s="154"/>
      <c r="I7" s="154"/>
      <c r="J7" s="154"/>
      <c r="K7" s="154"/>
      <c r="L7" s="154"/>
      <c r="M7" s="154"/>
      <c r="N7" s="154"/>
      <c r="O7" s="154"/>
      <c r="P7" s="129"/>
    </row>
    <row r="8" spans="1:16" s="150" customFormat="1" ht="23.25">
      <c r="A8" s="156" t="s">
        <v>96</v>
      </c>
      <c r="B8" s="156" t="s">
        <v>277</v>
      </c>
      <c r="C8" s="371" t="s">
        <v>175</v>
      </c>
      <c r="D8" s="157">
        <f>+'ตามแผนงาน 2'!H6</f>
        <v>2254320</v>
      </c>
      <c r="E8" s="224"/>
      <c r="F8" s="225"/>
      <c r="G8" s="224"/>
      <c r="H8" s="224"/>
      <c r="I8" s="224"/>
      <c r="J8" s="224"/>
      <c r="K8" s="224"/>
      <c r="L8" s="224"/>
      <c r="M8" s="224"/>
      <c r="N8" s="224"/>
      <c r="O8" s="224"/>
      <c r="P8" s="129">
        <f>SUM(D8:O8)</f>
        <v>2254320</v>
      </c>
    </row>
    <row r="9" spans="1:16" ht="23.25">
      <c r="A9" s="159"/>
      <c r="B9" s="159" t="s">
        <v>278</v>
      </c>
      <c r="C9" s="371" t="s">
        <v>175</v>
      </c>
      <c r="D9" s="157">
        <f>+'ตามแผนงาน 2'!H7</f>
        <v>5344466</v>
      </c>
      <c r="E9" s="157">
        <f>+'ตามแผนงาน 3'!H7</f>
        <v>0</v>
      </c>
      <c r="F9" s="158">
        <f>+'ตามแผนงาน 4'!I7</f>
        <v>1370753</v>
      </c>
      <c r="G9" s="157">
        <f>+'ตามแผนงาน 5'!I7</f>
        <v>0</v>
      </c>
      <c r="H9" s="157">
        <f>+'ตามแผนงาน 6'!G7</f>
        <v>0</v>
      </c>
      <c r="I9" s="157">
        <f>+'ตามแผนงาน 7'!J7</f>
        <v>700460</v>
      </c>
      <c r="J9" s="157">
        <f>+'ตามแผนงาน 8'!G7</f>
        <v>0</v>
      </c>
      <c r="K9" s="157">
        <f>+'ตามแผนงาน 9'!I7</f>
        <v>0</v>
      </c>
      <c r="L9" s="157">
        <f>+'ตามแผนงาน 10'!G7</f>
        <v>0</v>
      </c>
      <c r="M9" s="157">
        <f>+'ตามแผนงาน 11'!G7</f>
        <v>0</v>
      </c>
      <c r="N9" s="157">
        <f>+'ตามแผนงาน 12'!H7</f>
        <v>0</v>
      </c>
      <c r="O9" s="226"/>
      <c r="P9" s="129">
        <f aca="true" t="shared" si="0" ref="P9:P18">SUM(D9:O9)</f>
        <v>7415679</v>
      </c>
    </row>
    <row r="10" spans="1:16" ht="23.25">
      <c r="A10" s="159" t="s">
        <v>279</v>
      </c>
      <c r="B10" s="159" t="s">
        <v>45</v>
      </c>
      <c r="C10" s="371" t="s">
        <v>175</v>
      </c>
      <c r="D10" s="157">
        <f>+'ตามแผนงาน 2'!H8</f>
        <v>925656</v>
      </c>
      <c r="E10" s="157">
        <f>+'ตามแผนงาน 3'!H8</f>
        <v>0</v>
      </c>
      <c r="F10" s="158">
        <f>+'ตามแผนงาน 4'!I8</f>
        <v>168230</v>
      </c>
      <c r="G10" s="157">
        <f>+'ตามแผนงาน 5'!I8</f>
        <v>0</v>
      </c>
      <c r="H10" s="157">
        <f>+'ตามแผนงาน 6'!G8</f>
        <v>0</v>
      </c>
      <c r="I10" s="157">
        <f>+'ตามแผนงาน 7'!J8</f>
        <v>135025</v>
      </c>
      <c r="J10" s="157">
        <f>+'ตามแผนงาน 8'!G8</f>
        <v>0</v>
      </c>
      <c r="K10" s="157">
        <f>+'ตามแผนงาน 9'!I8</f>
        <v>0</v>
      </c>
      <c r="L10" s="157">
        <f>+'ตามแผนงาน 10'!G8</f>
        <v>0</v>
      </c>
      <c r="M10" s="157">
        <f>+'ตามแผนงาน 11'!G8</f>
        <v>0</v>
      </c>
      <c r="N10" s="157">
        <f>+'ตามแผนงาน 12'!H8</f>
        <v>0</v>
      </c>
      <c r="O10" s="226"/>
      <c r="P10" s="129">
        <f t="shared" si="0"/>
        <v>1228911</v>
      </c>
    </row>
    <row r="11" spans="1:16" ht="23.25">
      <c r="A11" s="159"/>
      <c r="B11" s="159" t="s">
        <v>46</v>
      </c>
      <c r="C11" s="371" t="s">
        <v>175</v>
      </c>
      <c r="D11" s="157">
        <f>+'ตามแผนงาน 2'!H9</f>
        <v>614432.84</v>
      </c>
      <c r="E11" s="157">
        <f>+'ตามแผนงาน 3'!H9</f>
        <v>31150</v>
      </c>
      <c r="F11" s="158">
        <f>+'ตามแผนงาน 4'!I9</f>
        <v>765088</v>
      </c>
      <c r="G11" s="157">
        <f>+'ตามแผนงาน 5'!I9</f>
        <v>0</v>
      </c>
      <c r="H11" s="157">
        <f>+'ตามแผนงาน 6'!G9</f>
        <v>0</v>
      </c>
      <c r="I11" s="157">
        <f>+'ตามแผนงาน 7'!J9</f>
        <v>399408</v>
      </c>
      <c r="J11" s="157">
        <f>+'ตามแผนงาน 8'!G9</f>
        <v>176125</v>
      </c>
      <c r="K11" s="157">
        <f>+'ตามแผนงาน 9'!I9</f>
        <v>57330</v>
      </c>
      <c r="L11" s="157">
        <f>+'ตามแผนงาน 10'!G9</f>
        <v>0</v>
      </c>
      <c r="M11" s="157">
        <f>+'ตามแผนงาน 11'!G9</f>
        <v>102060</v>
      </c>
      <c r="N11" s="157">
        <f>+'ตามแผนงาน 12'!H9</f>
        <v>0</v>
      </c>
      <c r="O11" s="226"/>
      <c r="P11" s="129">
        <f t="shared" si="0"/>
        <v>2145593.84</v>
      </c>
    </row>
    <row r="12" spans="1:16" ht="23.25">
      <c r="A12" s="159"/>
      <c r="B12" s="159" t="s">
        <v>47</v>
      </c>
      <c r="C12" s="371" t="s">
        <v>175</v>
      </c>
      <c r="D12" s="157">
        <f>+'ตามแผนงาน 2'!H10</f>
        <v>436347.45</v>
      </c>
      <c r="E12" s="157">
        <f>+'ตามแผนงาน 3'!H10</f>
        <v>0</v>
      </c>
      <c r="F12" s="158">
        <f>+'ตามแผนงาน 4'!I10</f>
        <v>1011127.28</v>
      </c>
      <c r="G12" s="157">
        <f>+'ตามแผนงาน 5'!I10</f>
        <v>101500</v>
      </c>
      <c r="H12" s="157">
        <f>+'ตามแผนงาน 6'!G10</f>
        <v>0</v>
      </c>
      <c r="I12" s="157">
        <f>+'ตามแผนงาน 7'!J10</f>
        <v>46566</v>
      </c>
      <c r="J12" s="157">
        <f>+'ตามแผนงาน 8'!G10</f>
        <v>0</v>
      </c>
      <c r="K12" s="157">
        <f>+'ตามแผนงาน 9'!I10</f>
        <v>0</v>
      </c>
      <c r="L12" s="157">
        <f>+'ตามแผนงาน 10'!G10</f>
        <v>0</v>
      </c>
      <c r="M12" s="157">
        <f>+'ตามแผนงาน 11'!G10</f>
        <v>0</v>
      </c>
      <c r="N12" s="157">
        <f>+'ตามแผนงาน 12'!H10</f>
        <v>0</v>
      </c>
      <c r="O12" s="226"/>
      <c r="P12" s="129">
        <f t="shared" si="0"/>
        <v>1595540.73</v>
      </c>
    </row>
    <row r="13" spans="1:16" ht="23.25">
      <c r="A13" s="159"/>
      <c r="B13" s="159" t="s">
        <v>100</v>
      </c>
      <c r="C13" s="371" t="s">
        <v>175</v>
      </c>
      <c r="D13" s="157">
        <f>+'ตามแผนงาน 2'!H11</f>
        <v>246481.35</v>
      </c>
      <c r="E13" s="157">
        <f>+'ตามแผนงาน 3'!H11</f>
        <v>0</v>
      </c>
      <c r="F13" s="158">
        <f>+'ตามแผนงาน 4'!I11</f>
        <v>5150.42</v>
      </c>
      <c r="G13" s="157">
        <f>+'ตามแผนงาน 5'!I11</f>
        <v>0</v>
      </c>
      <c r="H13" s="157">
        <f>+'ตามแผนงาน 6'!G11</f>
        <v>0</v>
      </c>
      <c r="I13" s="157">
        <f>+'ตามแผนงาน 7'!J11</f>
        <v>0</v>
      </c>
      <c r="J13" s="157">
        <f>+'ตามแผนงาน 8'!G11</f>
        <v>0</v>
      </c>
      <c r="K13" s="157">
        <f>+'ตามแผนงาน 9'!I11</f>
        <v>0</v>
      </c>
      <c r="L13" s="157">
        <f>+'ตามแผนงาน 10'!G11</f>
        <v>0</v>
      </c>
      <c r="M13" s="157">
        <f>+'ตามแผนงาน 11'!G11</f>
        <v>0</v>
      </c>
      <c r="N13" s="157">
        <f>+'ตามแผนงาน 12'!H11</f>
        <v>0</v>
      </c>
      <c r="O13" s="226"/>
      <c r="P13" s="129">
        <f t="shared" si="0"/>
        <v>251631.77000000002</v>
      </c>
    </row>
    <row r="14" spans="1:16" ht="23.25">
      <c r="A14" s="159" t="s">
        <v>102</v>
      </c>
      <c r="B14" s="159" t="s">
        <v>101</v>
      </c>
      <c r="C14" s="371" t="s">
        <v>175</v>
      </c>
      <c r="D14" s="157">
        <f>+'ตามแผนงาน 2'!H12</f>
        <v>41300</v>
      </c>
      <c r="E14" s="157">
        <f>+'ตามแผนงาน 3'!H12</f>
        <v>0</v>
      </c>
      <c r="F14" s="158">
        <f>+'ตามแผนงาน 4'!I12</f>
        <v>51500</v>
      </c>
      <c r="G14" s="157">
        <f>+'ตามแผนงาน 5'!I12</f>
        <v>118000</v>
      </c>
      <c r="H14" s="157">
        <f>+'ตามแผนงาน 6'!G12</f>
        <v>0</v>
      </c>
      <c r="I14" s="157">
        <f>+'ตามแผนงาน 7'!J12</f>
        <v>0</v>
      </c>
      <c r="J14" s="157">
        <f>+'ตามแผนงาน 8'!G12</f>
        <v>0</v>
      </c>
      <c r="K14" s="157">
        <f>+'ตามแผนงาน 9'!I12</f>
        <v>0</v>
      </c>
      <c r="L14" s="157">
        <f>+'ตามแผนงาน 10'!G12</f>
        <v>0</v>
      </c>
      <c r="M14" s="157">
        <f>+'ตามแผนงาน 11'!G12</f>
        <v>0</v>
      </c>
      <c r="N14" s="157">
        <f>+'ตามแผนงาน 12'!H12</f>
        <v>0</v>
      </c>
      <c r="O14" s="226"/>
      <c r="P14" s="129">
        <f t="shared" si="0"/>
        <v>210800</v>
      </c>
    </row>
    <row r="15" spans="1:16" ht="23.25">
      <c r="A15" s="159"/>
      <c r="B15" s="159" t="s">
        <v>50</v>
      </c>
      <c r="C15" s="371" t="s">
        <v>175</v>
      </c>
      <c r="D15" s="157">
        <f>+'ตามแผนงาน 2'!H13</f>
        <v>36450</v>
      </c>
      <c r="E15" s="157">
        <f>+'ตามแผนงาน 3'!H13</f>
        <v>0</v>
      </c>
      <c r="F15" s="158">
        <f>+'ตามแผนงาน 4'!I13</f>
        <v>365000</v>
      </c>
      <c r="G15" s="157">
        <f>+'ตามแผนงาน 5'!I13</f>
        <v>0</v>
      </c>
      <c r="H15" s="157">
        <f>+'ตามแผนงาน 6'!G13</f>
        <v>0</v>
      </c>
      <c r="I15" s="157">
        <f>+'ตามแผนงาน 7'!J13</f>
        <v>3033892</v>
      </c>
      <c r="J15" s="157">
        <f>+'ตามแผนงาน 8'!G13</f>
        <v>0</v>
      </c>
      <c r="K15" s="157">
        <f>+'ตามแผนงาน 9'!I13</f>
        <v>0</v>
      </c>
      <c r="L15" s="157">
        <f>+'ตามแผนงาน 10'!G13</f>
        <v>0</v>
      </c>
      <c r="M15" s="157">
        <f>+'ตามแผนงาน 11'!G13</f>
        <v>0</v>
      </c>
      <c r="N15" s="157">
        <f>+'ตามแผนงาน 12'!H13</f>
        <v>0</v>
      </c>
      <c r="O15" s="226"/>
      <c r="P15" s="129">
        <f t="shared" si="0"/>
        <v>3435342</v>
      </c>
    </row>
    <row r="16" spans="1:16" ht="23.25">
      <c r="A16" s="159" t="s">
        <v>103</v>
      </c>
      <c r="B16" s="159" t="s">
        <v>48</v>
      </c>
      <c r="C16" s="371" t="s">
        <v>175</v>
      </c>
      <c r="D16" s="157">
        <f>+'ตามแผนงาน 2'!H14</f>
        <v>20000</v>
      </c>
      <c r="E16" s="157">
        <f>+'ตามแผนงาน 3'!H14</f>
        <v>0</v>
      </c>
      <c r="F16" s="158">
        <f>+'ตามแผนงาน 4'!I14</f>
        <v>0</v>
      </c>
      <c r="G16" s="157">
        <f>+'ตามแผนงาน 5'!I14</f>
        <v>0</v>
      </c>
      <c r="H16" s="157">
        <f>+'ตามแผนงาน 6'!G14</f>
        <v>0</v>
      </c>
      <c r="I16" s="157">
        <f>+'ตามแผนงาน 7'!J15</f>
        <v>0</v>
      </c>
      <c r="J16" s="157">
        <f>+'ตามแผนงาน 8'!G14</f>
        <v>0</v>
      </c>
      <c r="K16" s="157">
        <f>+'ตามแผนงาน 9'!I14</f>
        <v>0</v>
      </c>
      <c r="L16" s="157">
        <f>+'ตามแผนงาน 10'!G14</f>
        <v>0</v>
      </c>
      <c r="M16" s="157">
        <f>+'ตามแผนงาน 11'!G14</f>
        <v>0</v>
      </c>
      <c r="N16" s="157">
        <f>+'ตามแผนงาน 12'!H14</f>
        <v>0</v>
      </c>
      <c r="O16" s="226"/>
      <c r="P16" s="129">
        <f t="shared" si="0"/>
        <v>20000</v>
      </c>
    </row>
    <row r="17" spans="1:16" ht="23.25">
      <c r="A17" s="159" t="s">
        <v>104</v>
      </c>
      <c r="B17" s="159" t="s">
        <v>28</v>
      </c>
      <c r="C17" s="371" t="s">
        <v>175</v>
      </c>
      <c r="D17" s="157">
        <f>+'ตามแผนงาน 2'!H15</f>
        <v>0</v>
      </c>
      <c r="E17" s="157">
        <f>+'ตามแผนงาน 3'!H15</f>
        <v>0</v>
      </c>
      <c r="F17" s="158">
        <f>+'ตามแผนงาน 4'!I15</f>
        <v>1324000</v>
      </c>
      <c r="G17" s="157">
        <f>+'ตามแผนงาน 5'!I15</f>
        <v>0</v>
      </c>
      <c r="H17" s="157">
        <f>+'ตามแผนงาน 6'!G15</f>
        <v>0</v>
      </c>
      <c r="I17" s="157">
        <f>+'ตามแผนงาน 7'!J16</f>
        <v>673713.19</v>
      </c>
      <c r="J17" s="157">
        <f>+'ตามแผนงาน 8'!G15</f>
        <v>0</v>
      </c>
      <c r="K17" s="157">
        <f>+'ตามแผนงาน 9'!I15</f>
        <v>0</v>
      </c>
      <c r="L17" s="157">
        <f>+'ตามแผนงาน 10'!G15</f>
        <v>0</v>
      </c>
      <c r="M17" s="157">
        <f>+'ตามแผนงาน 11'!G15</f>
        <v>0</v>
      </c>
      <c r="N17" s="157">
        <f>+'ตามแผนงาน 12'!H15</f>
        <v>0</v>
      </c>
      <c r="O17" s="226"/>
      <c r="P17" s="129">
        <f t="shared" si="0"/>
        <v>1997713.19</v>
      </c>
    </row>
    <row r="18" spans="1:16" ht="23.25">
      <c r="A18" s="159" t="s">
        <v>49</v>
      </c>
      <c r="B18" s="159" t="s">
        <v>49</v>
      </c>
      <c r="C18" s="371" t="s">
        <v>175</v>
      </c>
      <c r="D18" s="224"/>
      <c r="E18" s="224"/>
      <c r="F18" s="225"/>
      <c r="G18" s="224"/>
      <c r="H18" s="224"/>
      <c r="I18" s="224"/>
      <c r="J18" s="224"/>
      <c r="K18" s="224"/>
      <c r="L18" s="224"/>
      <c r="M18" s="224"/>
      <c r="N18" s="224"/>
      <c r="O18" s="129">
        <f>+'ตามแผนงาน 1'!F7</f>
        <v>10934169</v>
      </c>
      <c r="P18" s="129">
        <f t="shared" si="0"/>
        <v>10934169</v>
      </c>
    </row>
    <row r="19" spans="1:16" ht="23.25">
      <c r="A19" s="160"/>
      <c r="B19" s="160"/>
      <c r="C19" s="153"/>
      <c r="D19" s="161"/>
      <c r="E19" s="161"/>
      <c r="F19" s="161"/>
      <c r="G19" s="161"/>
      <c r="H19" s="161"/>
      <c r="I19" s="161"/>
      <c r="J19" s="161"/>
      <c r="K19" s="161"/>
      <c r="L19" s="161"/>
      <c r="M19" s="129"/>
      <c r="N19" s="129"/>
      <c r="O19" s="129"/>
      <c r="P19" s="129"/>
    </row>
    <row r="20" spans="1:16" ht="24" thickBot="1">
      <c r="A20" s="482" t="s">
        <v>68</v>
      </c>
      <c r="B20" s="482"/>
      <c r="C20" s="482"/>
      <c r="D20" s="137">
        <f>SUM(D8:D19)</f>
        <v>9919453.639999999</v>
      </c>
      <c r="E20" s="137">
        <f aca="true" t="shared" si="1" ref="E20:N20">SUM(E9:E19)</f>
        <v>31150</v>
      </c>
      <c r="F20" s="137">
        <f t="shared" si="1"/>
        <v>5060848.7</v>
      </c>
      <c r="G20" s="137">
        <f t="shared" si="1"/>
        <v>219500</v>
      </c>
      <c r="H20" s="137">
        <f t="shared" si="1"/>
        <v>0</v>
      </c>
      <c r="I20" s="137">
        <f t="shared" si="1"/>
        <v>4989064.1899999995</v>
      </c>
      <c r="J20" s="137">
        <f t="shared" si="1"/>
        <v>176125</v>
      </c>
      <c r="K20" s="137">
        <f t="shared" si="1"/>
        <v>57330</v>
      </c>
      <c r="L20" s="137">
        <f t="shared" si="1"/>
        <v>0</v>
      </c>
      <c r="M20" s="137">
        <f t="shared" si="1"/>
        <v>102060</v>
      </c>
      <c r="N20" s="137">
        <f t="shared" si="1"/>
        <v>0</v>
      </c>
      <c r="O20" s="137">
        <f>SUM(O7:O19)</f>
        <v>10934169</v>
      </c>
      <c r="P20" s="137">
        <f>SUM(P8:P18)</f>
        <v>31489700.53</v>
      </c>
    </row>
    <row r="21" ht="22.5" thickTop="1"/>
    <row r="22" ht="21.75">
      <c r="A22" s="162" t="s">
        <v>95</v>
      </c>
    </row>
    <row r="24" spans="1:16" s="59" customFormat="1" ht="23.25">
      <c r="A24" s="437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</row>
  </sheetData>
  <sheetProtection/>
  <mergeCells count="9">
    <mergeCell ref="C5:C6"/>
    <mergeCell ref="D5:P5"/>
    <mergeCell ref="A24:P24"/>
    <mergeCell ref="A1:P1"/>
    <mergeCell ref="A2:P2"/>
    <mergeCell ref="A3:P3"/>
    <mergeCell ref="A20:C20"/>
    <mergeCell ref="A5:A6"/>
    <mergeCell ref="B5:B6"/>
  </mergeCells>
  <printOptions/>
  <pageMargins left="0.31496062992125984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A21" sqref="A21"/>
    </sheetView>
  </sheetViews>
  <sheetFormatPr defaultColWidth="9.140625" defaultRowHeight="15"/>
  <cols>
    <col min="1" max="1" width="11.00390625" style="145" customWidth="1"/>
    <col min="2" max="2" width="20.28125" style="145" customWidth="1"/>
    <col min="3" max="7" width="10.421875" style="145" customWidth="1"/>
    <col min="8" max="8" width="12.421875" style="145" customWidth="1"/>
    <col min="9" max="9" width="11.00390625" style="145" customWidth="1"/>
    <col min="10" max="13" width="11.28125" style="145" customWidth="1"/>
    <col min="14" max="14" width="11.57421875" style="145" customWidth="1"/>
    <col min="15" max="15" width="12.57421875" style="145" customWidth="1"/>
    <col min="16" max="16384" width="9.00390625" style="145" customWidth="1"/>
  </cols>
  <sheetData>
    <row r="1" spans="1:1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1.75">
      <c r="A2" s="486" t="s">
        <v>162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5" spans="1:15" ht="21.75">
      <c r="A5" s="485" t="s">
        <v>94</v>
      </c>
      <c r="B5" s="485" t="s">
        <v>79</v>
      </c>
      <c r="C5" s="485" t="s">
        <v>77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</row>
    <row r="6" spans="1:15" s="150" customFormat="1" ht="108.75">
      <c r="A6" s="485"/>
      <c r="B6" s="485"/>
      <c r="C6" s="146" t="s">
        <v>151</v>
      </c>
      <c r="D6" s="146" t="s">
        <v>152</v>
      </c>
      <c r="E6" s="147" t="s">
        <v>153</v>
      </c>
      <c r="F6" s="146" t="s">
        <v>174</v>
      </c>
      <c r="G6" s="146" t="s">
        <v>154</v>
      </c>
      <c r="H6" s="146" t="s">
        <v>155</v>
      </c>
      <c r="I6" s="146" t="s">
        <v>156</v>
      </c>
      <c r="J6" s="146" t="s">
        <v>157</v>
      </c>
      <c r="K6" s="146" t="s">
        <v>158</v>
      </c>
      <c r="L6" s="146" t="s">
        <v>159</v>
      </c>
      <c r="M6" s="146" t="s">
        <v>160</v>
      </c>
      <c r="N6" s="148" t="s">
        <v>49</v>
      </c>
      <c r="O6" s="163" t="s">
        <v>68</v>
      </c>
    </row>
    <row r="7" spans="1:15" s="150" customFormat="1" ht="21.75">
      <c r="A7" s="164" t="s">
        <v>49</v>
      </c>
      <c r="B7" s="164" t="s">
        <v>49</v>
      </c>
      <c r="C7" s="165"/>
      <c r="D7" s="165"/>
      <c r="E7" s="166"/>
      <c r="F7" s="165"/>
      <c r="G7" s="165"/>
      <c r="H7" s="167"/>
      <c r="I7" s="167"/>
      <c r="J7" s="167"/>
      <c r="K7" s="167"/>
      <c r="L7" s="167"/>
      <c r="M7" s="167"/>
      <c r="N7" s="167"/>
      <c r="O7" s="168"/>
    </row>
    <row r="8" spans="1:15" ht="21.75">
      <c r="A8" s="153" t="s">
        <v>96</v>
      </c>
      <c r="B8" s="153" t="s">
        <v>97</v>
      </c>
      <c r="C8" s="169"/>
      <c r="D8" s="169"/>
      <c r="E8" s="169"/>
      <c r="F8" s="169"/>
      <c r="G8" s="169"/>
      <c r="H8" s="129"/>
      <c r="I8" s="129"/>
      <c r="J8" s="129"/>
      <c r="K8" s="129"/>
      <c r="L8" s="129"/>
      <c r="M8" s="129"/>
      <c r="N8" s="129"/>
      <c r="O8" s="129"/>
    </row>
    <row r="9" spans="1:15" ht="21.75">
      <c r="A9" s="153"/>
      <c r="B9" s="153" t="s">
        <v>98</v>
      </c>
      <c r="C9" s="169"/>
      <c r="D9" s="169"/>
      <c r="E9" s="169"/>
      <c r="F9" s="169"/>
      <c r="G9" s="169"/>
      <c r="H9" s="129"/>
      <c r="I9" s="129"/>
      <c r="J9" s="129"/>
      <c r="K9" s="129"/>
      <c r="L9" s="129"/>
      <c r="M9" s="129"/>
      <c r="N9" s="129"/>
      <c r="O9" s="129"/>
    </row>
    <row r="10" spans="1:15" ht="21.75">
      <c r="A10" s="153" t="s">
        <v>99</v>
      </c>
      <c r="B10" s="170" t="s">
        <v>45</v>
      </c>
      <c r="C10" s="169"/>
      <c r="D10" s="169"/>
      <c r="E10" s="169"/>
      <c r="F10" s="169"/>
      <c r="G10" s="169"/>
      <c r="H10" s="129"/>
      <c r="I10" s="129"/>
      <c r="J10" s="129"/>
      <c r="K10" s="129"/>
      <c r="L10" s="129"/>
      <c r="M10" s="129"/>
      <c r="N10" s="129"/>
      <c r="O10" s="129"/>
    </row>
    <row r="11" spans="1:15" ht="21.75">
      <c r="A11" s="153"/>
      <c r="B11" s="170" t="s">
        <v>46</v>
      </c>
      <c r="C11" s="169"/>
      <c r="D11" s="169"/>
      <c r="E11" s="169"/>
      <c r="F11" s="169"/>
      <c r="G11" s="169"/>
      <c r="H11" s="129"/>
      <c r="I11" s="129"/>
      <c r="J11" s="129"/>
      <c r="K11" s="129"/>
      <c r="L11" s="129"/>
      <c r="M11" s="129"/>
      <c r="N11" s="129"/>
      <c r="O11" s="129"/>
    </row>
    <row r="12" spans="1:15" ht="21.75">
      <c r="A12" s="153"/>
      <c r="B12" s="170" t="s">
        <v>47</v>
      </c>
      <c r="C12" s="169"/>
      <c r="D12" s="169"/>
      <c r="E12" s="169"/>
      <c r="F12" s="169"/>
      <c r="G12" s="169"/>
      <c r="H12" s="129"/>
      <c r="I12" s="129"/>
      <c r="J12" s="129"/>
      <c r="K12" s="129"/>
      <c r="L12" s="129"/>
      <c r="M12" s="129"/>
      <c r="N12" s="129"/>
      <c r="O12" s="129"/>
    </row>
    <row r="13" spans="1:15" ht="21.75">
      <c r="A13" s="153"/>
      <c r="B13" s="170" t="s">
        <v>100</v>
      </c>
      <c r="C13" s="169"/>
      <c r="D13" s="169"/>
      <c r="E13" s="169"/>
      <c r="F13" s="169"/>
      <c r="G13" s="169"/>
      <c r="H13" s="129"/>
      <c r="I13" s="129"/>
      <c r="J13" s="129"/>
      <c r="K13" s="129"/>
      <c r="L13" s="129"/>
      <c r="M13" s="129"/>
      <c r="N13" s="129"/>
      <c r="O13" s="129"/>
    </row>
    <row r="14" spans="1:15" ht="21.75">
      <c r="A14" s="153" t="s">
        <v>102</v>
      </c>
      <c r="B14" s="170" t="s">
        <v>101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29"/>
      <c r="M14" s="129"/>
      <c r="N14" s="129"/>
      <c r="O14" s="129"/>
    </row>
    <row r="15" spans="1:15" ht="21.75">
      <c r="A15" s="153"/>
      <c r="B15" s="170" t="s">
        <v>50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29"/>
      <c r="M15" s="129"/>
      <c r="N15" s="129"/>
      <c r="O15" s="129"/>
    </row>
    <row r="16" spans="1:15" ht="21.75">
      <c r="A16" s="153" t="s">
        <v>103</v>
      </c>
      <c r="B16" s="170" t="s">
        <v>48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29"/>
      <c r="M16" s="129"/>
      <c r="N16" s="129"/>
      <c r="O16" s="129"/>
    </row>
    <row r="17" spans="1:15" ht="21.75">
      <c r="A17" s="153" t="s">
        <v>104</v>
      </c>
      <c r="B17" s="170" t="s">
        <v>28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29"/>
      <c r="M17" s="129"/>
      <c r="N17" s="129"/>
      <c r="O17" s="132"/>
    </row>
    <row r="18" spans="1:15" ht="24" thickBot="1">
      <c r="A18" s="482" t="s">
        <v>68</v>
      </c>
      <c r="B18" s="482"/>
      <c r="C18" s="137">
        <f aca="true" t="shared" si="0" ref="C18:M18">SUM(C8:C17)</f>
        <v>0</v>
      </c>
      <c r="D18" s="137">
        <f t="shared" si="0"/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137">
        <f t="shared" si="0"/>
        <v>0</v>
      </c>
      <c r="K18" s="137">
        <f t="shared" si="0"/>
        <v>0</v>
      </c>
      <c r="L18" s="137">
        <f t="shared" si="0"/>
        <v>0</v>
      </c>
      <c r="M18" s="137">
        <f t="shared" si="0"/>
        <v>0</v>
      </c>
      <c r="N18" s="137">
        <f>SUM(N7:N17)</f>
        <v>0</v>
      </c>
      <c r="O18" s="137">
        <f>SUM(O7:O17)</f>
        <v>0</v>
      </c>
    </row>
    <row r="19" ht="22.5" thickTop="1"/>
    <row r="21" s="59" customFormat="1" ht="23.25">
      <c r="A21" s="59" t="s">
        <v>458</v>
      </c>
    </row>
    <row r="22" s="59" customFormat="1" ht="23.25">
      <c r="A22" s="59" t="s">
        <v>274</v>
      </c>
    </row>
    <row r="24" spans="1:16" s="59" customFormat="1" ht="23.25">
      <c r="A24" s="437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</row>
    <row r="25" spans="1:16" s="59" customFormat="1" ht="23.25">
      <c r="A25" s="437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</row>
  </sheetData>
  <sheetProtection/>
  <mergeCells count="9">
    <mergeCell ref="A24:P24"/>
    <mergeCell ref="A25:P25"/>
    <mergeCell ref="A18:B18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0">
      <selection activeCell="A20" sqref="A20"/>
    </sheetView>
  </sheetViews>
  <sheetFormatPr defaultColWidth="9.140625" defaultRowHeight="15"/>
  <cols>
    <col min="1" max="1" width="11.8515625" style="145" customWidth="1"/>
    <col min="2" max="2" width="20.28125" style="145" customWidth="1"/>
    <col min="3" max="12" width="12.57421875" style="145" customWidth="1"/>
    <col min="13" max="13" width="13.00390625" style="145" customWidth="1"/>
    <col min="14" max="14" width="11.57421875" style="145" customWidth="1"/>
    <col min="15" max="15" width="12.57421875" style="145" customWidth="1"/>
    <col min="16" max="16384" width="9.00390625" style="145" customWidth="1"/>
  </cols>
  <sheetData>
    <row r="1" spans="1:1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1.75">
      <c r="A2" s="486" t="s">
        <v>163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5" spans="1:15" ht="21.75">
      <c r="A5" s="485" t="s">
        <v>94</v>
      </c>
      <c r="B5" s="485" t="s">
        <v>79</v>
      </c>
      <c r="C5" s="485" t="s">
        <v>77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</row>
    <row r="6" spans="1:15" s="150" customFormat="1" ht="108.75">
      <c r="A6" s="485"/>
      <c r="B6" s="485"/>
      <c r="C6" s="146" t="s">
        <v>151</v>
      </c>
      <c r="D6" s="146" t="s">
        <v>152</v>
      </c>
      <c r="E6" s="147" t="s">
        <v>153</v>
      </c>
      <c r="F6" s="146" t="s">
        <v>161</v>
      </c>
      <c r="G6" s="146" t="s">
        <v>154</v>
      </c>
      <c r="H6" s="146" t="s">
        <v>155</v>
      </c>
      <c r="I6" s="146" t="s">
        <v>156</v>
      </c>
      <c r="J6" s="146" t="s">
        <v>157</v>
      </c>
      <c r="K6" s="146" t="s">
        <v>158</v>
      </c>
      <c r="L6" s="146" t="s">
        <v>159</v>
      </c>
      <c r="M6" s="146" t="s">
        <v>160</v>
      </c>
      <c r="N6" s="148" t="s">
        <v>49</v>
      </c>
      <c r="O6" s="163" t="s">
        <v>68</v>
      </c>
    </row>
    <row r="7" spans="1:15" ht="21.75">
      <c r="A7" s="171" t="s">
        <v>96</v>
      </c>
      <c r="B7" s="171" t="s">
        <v>97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>
        <f>SUM(C7:N7)</f>
        <v>0</v>
      </c>
    </row>
    <row r="8" spans="1:15" ht="21.75">
      <c r="A8" s="153"/>
      <c r="B8" s="153" t="s">
        <v>98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>
        <f aca="true" t="shared" si="0" ref="O8:O16">SUM(C8:N8)</f>
        <v>0</v>
      </c>
    </row>
    <row r="9" spans="1:15" ht="21.75">
      <c r="A9" s="153" t="s">
        <v>99</v>
      </c>
      <c r="B9" s="170" t="s">
        <v>45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>
        <f t="shared" si="0"/>
        <v>0</v>
      </c>
    </row>
    <row r="10" spans="1:15" ht="21.75">
      <c r="A10" s="153"/>
      <c r="B10" s="170" t="s">
        <v>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>
        <f t="shared" si="0"/>
        <v>0</v>
      </c>
    </row>
    <row r="11" spans="1:15" ht="21.75">
      <c r="A11" s="153"/>
      <c r="B11" s="170" t="s">
        <v>47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>
        <f t="shared" si="0"/>
        <v>0</v>
      </c>
    </row>
    <row r="12" spans="1:15" ht="21.75">
      <c r="A12" s="153"/>
      <c r="B12" s="170" t="s">
        <v>100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f t="shared" si="0"/>
        <v>0</v>
      </c>
    </row>
    <row r="13" spans="1:15" ht="21.75">
      <c r="A13" s="153" t="s">
        <v>102</v>
      </c>
      <c r="B13" s="170" t="s">
        <v>101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29"/>
      <c r="M13" s="129"/>
      <c r="N13" s="129"/>
      <c r="O13" s="129">
        <f t="shared" si="0"/>
        <v>0</v>
      </c>
    </row>
    <row r="14" spans="1:15" ht="21.75">
      <c r="A14" s="153"/>
      <c r="B14" s="170" t="s">
        <v>50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29"/>
      <c r="M14" s="129"/>
      <c r="N14" s="129"/>
      <c r="O14" s="129">
        <f t="shared" si="0"/>
        <v>0</v>
      </c>
    </row>
    <row r="15" spans="1:15" ht="21.75">
      <c r="A15" s="153" t="s">
        <v>103</v>
      </c>
      <c r="B15" s="170" t="s">
        <v>48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29"/>
      <c r="M15" s="129"/>
      <c r="N15" s="129"/>
      <c r="O15" s="129">
        <f t="shared" si="0"/>
        <v>0</v>
      </c>
    </row>
    <row r="16" spans="1:15" ht="21.75">
      <c r="A16" s="153" t="s">
        <v>104</v>
      </c>
      <c r="B16" s="170" t="s">
        <v>28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29"/>
      <c r="M16" s="129"/>
      <c r="N16" s="129"/>
      <c r="O16" s="132">
        <f t="shared" si="0"/>
        <v>0</v>
      </c>
    </row>
    <row r="17" spans="1:15" ht="24" thickBot="1">
      <c r="A17" s="482" t="s">
        <v>68</v>
      </c>
      <c r="B17" s="482"/>
      <c r="C17" s="137">
        <f aca="true" t="shared" si="1" ref="C17:O17">SUM(C7:C16)</f>
        <v>0</v>
      </c>
      <c r="D17" s="137">
        <f t="shared" si="1"/>
        <v>0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7">
        <f t="shared" si="1"/>
        <v>0</v>
      </c>
      <c r="I17" s="137">
        <f t="shared" si="1"/>
        <v>0</v>
      </c>
      <c r="J17" s="137">
        <f t="shared" si="1"/>
        <v>0</v>
      </c>
      <c r="K17" s="137">
        <f t="shared" si="1"/>
        <v>0</v>
      </c>
      <c r="L17" s="137">
        <f t="shared" si="1"/>
        <v>0</v>
      </c>
      <c r="M17" s="137">
        <f t="shared" si="1"/>
        <v>0</v>
      </c>
      <c r="N17" s="137">
        <f t="shared" si="1"/>
        <v>0</v>
      </c>
      <c r="O17" s="137">
        <f t="shared" si="1"/>
        <v>0</v>
      </c>
    </row>
    <row r="18" ht="22.5" thickTop="1"/>
    <row r="20" s="59" customFormat="1" ht="23.25">
      <c r="A20" s="59" t="s">
        <v>458</v>
      </c>
    </row>
    <row r="21" s="59" customFormat="1" ht="23.25">
      <c r="A21" s="59" t="s">
        <v>274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82" zoomScalePageLayoutView="0" workbookViewId="0" topLeftCell="A1">
      <selection activeCell="H31" sqref="H31"/>
    </sheetView>
  </sheetViews>
  <sheetFormatPr defaultColWidth="9.140625" defaultRowHeight="15"/>
  <cols>
    <col min="1" max="1" width="38.8515625" style="27" customWidth="1"/>
    <col min="2" max="3" width="12.00390625" style="27" bestFit="1" customWidth="1"/>
    <col min="4" max="4" width="26.7109375" style="27" customWidth="1"/>
    <col min="5" max="5" width="12.00390625" style="27" bestFit="1" customWidth="1"/>
    <col min="6" max="6" width="12.00390625" style="58" bestFit="1" customWidth="1"/>
    <col min="7" max="16384" width="9.00390625" style="27" customWidth="1"/>
  </cols>
  <sheetData>
    <row r="1" spans="1:6" ht="23.25">
      <c r="A1" s="450" t="s">
        <v>339</v>
      </c>
      <c r="B1" s="450"/>
      <c r="C1" s="450"/>
      <c r="D1" s="450"/>
      <c r="E1" s="450"/>
      <c r="F1" s="450"/>
    </row>
    <row r="2" spans="1:6" ht="23.25">
      <c r="A2" s="450" t="s">
        <v>25</v>
      </c>
      <c r="B2" s="450"/>
      <c r="C2" s="450"/>
      <c r="D2" s="450"/>
      <c r="E2" s="450"/>
      <c r="F2" s="450"/>
    </row>
    <row r="3" spans="1:6" ht="23.25">
      <c r="A3" s="450" t="s">
        <v>447</v>
      </c>
      <c r="B3" s="450"/>
      <c r="C3" s="450"/>
      <c r="D3" s="450"/>
      <c r="E3" s="450"/>
      <c r="F3" s="450"/>
    </row>
    <row r="4" spans="1:6" ht="23.25">
      <c r="A4" s="28" t="s">
        <v>172</v>
      </c>
      <c r="B4" s="28"/>
      <c r="F4" s="19"/>
    </row>
    <row r="5" spans="1:6" ht="24" customHeight="1">
      <c r="A5" s="451" t="s">
        <v>35</v>
      </c>
      <c r="B5" s="452" t="s">
        <v>37</v>
      </c>
      <c r="C5" s="453"/>
      <c r="D5" s="451" t="s">
        <v>39</v>
      </c>
      <c r="E5" s="451"/>
      <c r="F5" s="451"/>
    </row>
    <row r="6" spans="1:6" ht="23.25" customHeight="1">
      <c r="A6" s="451"/>
      <c r="B6" s="454"/>
      <c r="C6" s="455"/>
      <c r="D6" s="29" t="s">
        <v>64</v>
      </c>
      <c r="E6" s="447" t="s">
        <v>30</v>
      </c>
      <c r="F6" s="448"/>
    </row>
    <row r="7" spans="1:6" ht="23.25" customHeight="1">
      <c r="A7" s="30"/>
      <c r="B7" s="31">
        <v>2561</v>
      </c>
      <c r="C7" s="31">
        <v>2560</v>
      </c>
      <c r="D7" s="32"/>
      <c r="E7" s="29">
        <v>2561</v>
      </c>
      <c r="F7" s="29">
        <v>2560</v>
      </c>
    </row>
    <row r="8" spans="1:6" ht="23.25">
      <c r="A8" s="33" t="s">
        <v>34</v>
      </c>
      <c r="B8" s="34"/>
      <c r="C8" s="34"/>
      <c r="D8" s="33"/>
      <c r="E8" s="33"/>
      <c r="F8" s="35"/>
    </row>
    <row r="9" spans="1:6" ht="23.25">
      <c r="A9" s="36" t="s">
        <v>194</v>
      </c>
      <c r="B9" s="37">
        <v>0</v>
      </c>
      <c r="C9" s="37">
        <v>0</v>
      </c>
      <c r="D9" s="39" t="s">
        <v>26</v>
      </c>
      <c r="E9" s="40">
        <f>8394909+210800</f>
        <v>8605709</v>
      </c>
      <c r="F9" s="40">
        <v>8394909</v>
      </c>
    </row>
    <row r="10" spans="1:6" ht="23.25">
      <c r="A10" s="36" t="s">
        <v>195</v>
      </c>
      <c r="B10" s="251">
        <v>8483565</v>
      </c>
      <c r="C10" s="251">
        <v>8483565</v>
      </c>
      <c r="D10" s="39" t="s">
        <v>52</v>
      </c>
      <c r="E10" s="40">
        <v>1175000</v>
      </c>
      <c r="F10" s="40">
        <v>1175000</v>
      </c>
    </row>
    <row r="11" spans="1:6" ht="23.25">
      <c r="A11" s="252" t="s">
        <v>488</v>
      </c>
      <c r="B11" s="38">
        <v>99000</v>
      </c>
      <c r="C11" s="38">
        <v>99000</v>
      </c>
      <c r="D11" s="39" t="s">
        <v>22</v>
      </c>
      <c r="E11" s="40">
        <v>0</v>
      </c>
      <c r="F11" s="40">
        <v>0</v>
      </c>
    </row>
    <row r="12" spans="1:9" ht="23.25">
      <c r="A12" s="252" t="s">
        <v>489</v>
      </c>
      <c r="B12" s="38">
        <v>245000</v>
      </c>
      <c r="C12" s="38">
        <v>245000</v>
      </c>
      <c r="D12" s="39" t="s">
        <v>316</v>
      </c>
      <c r="E12" s="40">
        <v>2462314</v>
      </c>
      <c r="F12" s="40">
        <v>2462314</v>
      </c>
      <c r="I12" s="42"/>
    </row>
    <row r="13" spans="1:6" ht="23.25">
      <c r="A13" s="252" t="s">
        <v>490</v>
      </c>
      <c r="B13" s="38">
        <v>760000</v>
      </c>
      <c r="C13" s="38">
        <v>760000</v>
      </c>
      <c r="D13" s="39" t="s">
        <v>192</v>
      </c>
      <c r="E13" s="40">
        <v>78400</v>
      </c>
      <c r="F13" s="40">
        <v>78400</v>
      </c>
    </row>
    <row r="14" spans="1:6" ht="23.25">
      <c r="A14" s="36"/>
      <c r="B14" s="37"/>
      <c r="C14" s="38"/>
      <c r="D14" s="252" t="s">
        <v>317</v>
      </c>
      <c r="E14" s="40">
        <v>0</v>
      </c>
      <c r="F14" s="40">
        <v>0</v>
      </c>
    </row>
    <row r="15" spans="1:6" ht="23.25">
      <c r="A15" s="33" t="s">
        <v>36</v>
      </c>
      <c r="B15" s="43"/>
      <c r="C15" s="33"/>
      <c r="D15" s="253" t="s">
        <v>318</v>
      </c>
      <c r="E15" s="40">
        <v>405000</v>
      </c>
      <c r="F15" s="40">
        <v>405000</v>
      </c>
    </row>
    <row r="16" spans="1:6" ht="23.25">
      <c r="A16" s="36" t="s">
        <v>196</v>
      </c>
      <c r="B16" s="38">
        <f>439070+16500+241802+10700+12500+22679+176780+3730+11000+23500+106990+605200+38900+60000+6400+7000+15800+9230+85500+49990+4800</f>
        <v>1948071</v>
      </c>
      <c r="C16" s="38">
        <v>1896771</v>
      </c>
      <c r="D16" s="68" t="s">
        <v>319</v>
      </c>
      <c r="E16" s="40">
        <v>1565904</v>
      </c>
      <c r="F16" s="40">
        <v>1565904</v>
      </c>
    </row>
    <row r="17" spans="1:6" ht="23.25">
      <c r="A17" s="36" t="s">
        <v>306</v>
      </c>
      <c r="B17" s="38">
        <v>100011</v>
      </c>
      <c r="C17" s="38">
        <v>170011</v>
      </c>
      <c r="D17" s="39" t="s">
        <v>27</v>
      </c>
      <c r="E17" s="43">
        <v>0</v>
      </c>
      <c r="F17" s="40">
        <v>0</v>
      </c>
    </row>
    <row r="18" spans="1:6" ht="23.25">
      <c r="A18" s="36" t="s">
        <v>307</v>
      </c>
      <c r="B18" s="38">
        <v>197845</v>
      </c>
      <c r="C18" s="38">
        <v>29045</v>
      </c>
      <c r="D18" s="41" t="s">
        <v>193</v>
      </c>
      <c r="E18" s="43"/>
      <c r="F18" s="40"/>
    </row>
    <row r="19" spans="1:6" ht="23.25">
      <c r="A19" s="36" t="s">
        <v>308</v>
      </c>
      <c r="B19" s="38">
        <v>215100</v>
      </c>
      <c r="C19" s="38">
        <v>186400</v>
      </c>
      <c r="D19" s="33"/>
      <c r="E19" s="43"/>
      <c r="F19" s="40"/>
    </row>
    <row r="20" spans="1:6" ht="23.25">
      <c r="A20" s="36" t="s">
        <v>309</v>
      </c>
      <c r="B20" s="38">
        <v>859000</v>
      </c>
      <c r="C20" s="38">
        <v>859000</v>
      </c>
      <c r="D20" s="33"/>
      <c r="E20" s="43"/>
      <c r="F20" s="35"/>
    </row>
    <row r="21" spans="1:6" ht="23.25">
      <c r="A21" s="36" t="s">
        <v>310</v>
      </c>
      <c r="B21" s="38">
        <v>4200</v>
      </c>
      <c r="C21" s="38">
        <v>4200</v>
      </c>
      <c r="D21" s="33"/>
      <c r="E21" s="43"/>
      <c r="F21" s="35"/>
    </row>
    <row r="22" spans="1:6" ht="23.25">
      <c r="A22" s="36" t="s">
        <v>311</v>
      </c>
      <c r="B22" s="38">
        <v>139500</v>
      </c>
      <c r="C22" s="38">
        <v>139500</v>
      </c>
      <c r="D22" s="33"/>
      <c r="E22" s="43"/>
      <c r="F22" s="35"/>
    </row>
    <row r="23" spans="1:6" ht="23.25">
      <c r="A23" s="36" t="s">
        <v>312</v>
      </c>
      <c r="B23" s="38">
        <v>822035</v>
      </c>
      <c r="C23" s="38">
        <v>790035</v>
      </c>
      <c r="D23" s="33"/>
      <c r="E23" s="43"/>
      <c r="F23" s="35"/>
    </row>
    <row r="24" spans="1:6" ht="23.25">
      <c r="A24" s="36" t="s">
        <v>313</v>
      </c>
      <c r="B24" s="38">
        <v>90000</v>
      </c>
      <c r="C24" s="38">
        <v>90000</v>
      </c>
      <c r="D24" s="33"/>
      <c r="E24" s="43"/>
      <c r="F24" s="35"/>
    </row>
    <row r="25" spans="1:6" ht="23.25">
      <c r="A25" s="36" t="s">
        <v>314</v>
      </c>
      <c r="B25" s="38">
        <v>181000</v>
      </c>
      <c r="C25" s="38">
        <v>181000</v>
      </c>
      <c r="D25" s="33"/>
      <c r="E25" s="43"/>
      <c r="F25" s="35"/>
    </row>
    <row r="26" spans="1:6" ht="23.25">
      <c r="A26" s="36" t="s">
        <v>315</v>
      </c>
      <c r="B26" s="38">
        <v>148000</v>
      </c>
      <c r="C26" s="38">
        <v>148000</v>
      </c>
      <c r="D26" s="33"/>
      <c r="E26" s="43"/>
      <c r="F26" s="35"/>
    </row>
    <row r="27" spans="1:6" ht="23.25">
      <c r="A27" s="36"/>
      <c r="B27" s="36"/>
      <c r="C27" s="43"/>
      <c r="D27" s="33"/>
      <c r="E27" s="43"/>
      <c r="F27" s="35"/>
    </row>
    <row r="28" spans="1:6" ht="23.25">
      <c r="A28" s="36"/>
      <c r="B28" s="36"/>
      <c r="C28" s="43"/>
      <c r="D28" s="33"/>
      <c r="E28" s="43"/>
      <c r="F28" s="35"/>
    </row>
    <row r="29" spans="1:6" ht="23.25">
      <c r="A29" s="36"/>
      <c r="B29" s="36"/>
      <c r="C29" s="43"/>
      <c r="D29" s="33"/>
      <c r="E29" s="43"/>
      <c r="F29" s="35"/>
    </row>
    <row r="30" spans="1:6" ht="23.25">
      <c r="A30" s="36"/>
      <c r="B30" s="36"/>
      <c r="C30" s="43"/>
      <c r="D30" s="33"/>
      <c r="E30" s="43"/>
      <c r="F30" s="35"/>
    </row>
    <row r="31" spans="1:6" ht="23.25">
      <c r="A31" s="36"/>
      <c r="B31" s="36"/>
      <c r="C31" s="43"/>
      <c r="D31" s="33"/>
      <c r="E31" s="43"/>
      <c r="F31" s="35"/>
    </row>
    <row r="32" spans="1:6" ht="24" thickBot="1">
      <c r="A32" s="44" t="s">
        <v>68</v>
      </c>
      <c r="B32" s="45">
        <f>SUM(B9:B31)</f>
        <v>14292327</v>
      </c>
      <c r="C32" s="45">
        <f>SUM(C10:C31)</f>
        <v>14081527</v>
      </c>
      <c r="D32" s="46"/>
      <c r="E32" s="47">
        <f>SUM(E9:E31)</f>
        <v>14292327</v>
      </c>
      <c r="F32" s="48">
        <f>SUM(F9:F31)</f>
        <v>14081527</v>
      </c>
    </row>
    <row r="33" spans="1:6" ht="24" thickTop="1">
      <c r="A33" s="49"/>
      <c r="B33" s="49"/>
      <c r="C33" s="50"/>
      <c r="D33" s="19"/>
      <c r="E33" s="19"/>
      <c r="F33" s="51"/>
    </row>
    <row r="34" spans="1:6" s="5" customFormat="1" ht="26.25">
      <c r="A34" s="52" t="s">
        <v>197</v>
      </c>
      <c r="B34" s="53"/>
      <c r="C34" s="54"/>
      <c r="D34" s="55"/>
      <c r="E34" s="55"/>
      <c r="F34" s="56"/>
    </row>
    <row r="35" spans="1:6" s="5" customFormat="1" ht="26.25">
      <c r="A35" s="57" t="s">
        <v>198</v>
      </c>
      <c r="B35" s="53"/>
      <c r="C35" s="54"/>
      <c r="D35" s="55"/>
      <c r="E35" s="55"/>
      <c r="F35" s="56"/>
    </row>
    <row r="36" spans="1:6" s="6" customFormat="1" ht="26.25">
      <c r="A36" s="449" t="s">
        <v>199</v>
      </c>
      <c r="B36" s="449"/>
      <c r="C36" s="449"/>
      <c r="D36" s="449"/>
      <c r="E36" s="449"/>
      <c r="F36" s="449"/>
    </row>
    <row r="37" spans="1:6" s="6" customFormat="1" ht="26.25">
      <c r="A37" s="449" t="s">
        <v>200</v>
      </c>
      <c r="B37" s="449"/>
      <c r="C37" s="449"/>
      <c r="D37" s="449"/>
      <c r="E37" s="449"/>
      <c r="F37" s="449"/>
    </row>
    <row r="38" spans="1:6" s="5" customFormat="1" ht="26.25">
      <c r="A38" s="6" t="s">
        <v>201</v>
      </c>
      <c r="F38" s="56"/>
    </row>
  </sheetData>
  <sheetProtection/>
  <mergeCells count="9">
    <mergeCell ref="E6:F6"/>
    <mergeCell ref="A36:F36"/>
    <mergeCell ref="A37:F37"/>
    <mergeCell ref="A1:F1"/>
    <mergeCell ref="A5:A6"/>
    <mergeCell ref="D5:F5"/>
    <mergeCell ref="A3:F3"/>
    <mergeCell ref="A2:F2"/>
    <mergeCell ref="B5:C6"/>
  </mergeCells>
  <printOptions/>
  <pageMargins left="0.68" right="0.1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zoomScalePageLayoutView="0" workbookViewId="0" topLeftCell="A1">
      <selection activeCell="A20" sqref="A20"/>
    </sheetView>
  </sheetViews>
  <sheetFormatPr defaultColWidth="9.140625" defaultRowHeight="15"/>
  <cols>
    <col min="1" max="1" width="11.8515625" style="145" customWidth="1"/>
    <col min="2" max="2" width="20.28125" style="145" customWidth="1"/>
    <col min="3" max="12" width="12.57421875" style="145" customWidth="1"/>
    <col min="13" max="13" width="13.00390625" style="145" customWidth="1"/>
    <col min="14" max="14" width="11.57421875" style="145" customWidth="1"/>
    <col min="15" max="15" width="12.57421875" style="145" customWidth="1"/>
    <col min="16" max="16384" width="9.00390625" style="145" customWidth="1"/>
  </cols>
  <sheetData>
    <row r="1" spans="1:1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1.75">
      <c r="A2" s="486" t="s">
        <v>164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5" spans="1:15" ht="21.75">
      <c r="A5" s="485" t="s">
        <v>94</v>
      </c>
      <c r="B5" s="485" t="s">
        <v>79</v>
      </c>
      <c r="C5" s="485" t="s">
        <v>77</v>
      </c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</row>
    <row r="6" spans="1:15" s="150" customFormat="1" ht="108.75">
      <c r="A6" s="485"/>
      <c r="B6" s="485"/>
      <c r="C6" s="146" t="s">
        <v>151</v>
      </c>
      <c r="D6" s="146" t="s">
        <v>152</v>
      </c>
      <c r="E6" s="147" t="s">
        <v>153</v>
      </c>
      <c r="F6" s="146" t="s">
        <v>161</v>
      </c>
      <c r="G6" s="146" t="s">
        <v>154</v>
      </c>
      <c r="H6" s="146" t="s">
        <v>155</v>
      </c>
      <c r="I6" s="146" t="s">
        <v>156</v>
      </c>
      <c r="J6" s="146" t="s">
        <v>157</v>
      </c>
      <c r="K6" s="146" t="s">
        <v>158</v>
      </c>
      <c r="L6" s="146" t="s">
        <v>159</v>
      </c>
      <c r="M6" s="146" t="s">
        <v>160</v>
      </c>
      <c r="N6" s="148" t="s">
        <v>49</v>
      </c>
      <c r="O6" s="163" t="s">
        <v>68</v>
      </c>
    </row>
    <row r="7" spans="1:15" ht="21.75">
      <c r="A7" s="171" t="s">
        <v>96</v>
      </c>
      <c r="B7" s="171" t="s">
        <v>97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>
        <f>SUM(C7:N7)</f>
        <v>0</v>
      </c>
    </row>
    <row r="8" spans="1:15" ht="21.75">
      <c r="A8" s="153"/>
      <c r="B8" s="153" t="s">
        <v>98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>
        <f aca="true" t="shared" si="0" ref="O8:O16">SUM(C8:N8)</f>
        <v>0</v>
      </c>
    </row>
    <row r="9" spans="1:15" ht="21.75">
      <c r="A9" s="153" t="s">
        <v>99</v>
      </c>
      <c r="B9" s="170" t="s">
        <v>45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>
        <f t="shared" si="0"/>
        <v>0</v>
      </c>
    </row>
    <row r="10" spans="1:15" ht="21.75">
      <c r="A10" s="153"/>
      <c r="B10" s="170" t="s">
        <v>46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>
        <f t="shared" si="0"/>
        <v>0</v>
      </c>
    </row>
    <row r="11" spans="1:15" ht="21.75">
      <c r="A11" s="153"/>
      <c r="B11" s="170" t="s">
        <v>47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>
        <f t="shared" si="0"/>
        <v>0</v>
      </c>
    </row>
    <row r="12" spans="1:15" ht="21.75">
      <c r="A12" s="153"/>
      <c r="B12" s="170" t="s">
        <v>100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>
        <f t="shared" si="0"/>
        <v>0</v>
      </c>
    </row>
    <row r="13" spans="1:15" ht="21.75">
      <c r="A13" s="153" t="s">
        <v>102</v>
      </c>
      <c r="B13" s="170" t="s">
        <v>101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29"/>
      <c r="M13" s="129"/>
      <c r="N13" s="129"/>
      <c r="O13" s="129">
        <f t="shared" si="0"/>
        <v>0</v>
      </c>
    </row>
    <row r="14" spans="1:15" ht="21.75">
      <c r="A14" s="153"/>
      <c r="B14" s="170" t="s">
        <v>50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29"/>
      <c r="M14" s="129"/>
      <c r="N14" s="129"/>
      <c r="O14" s="129">
        <f t="shared" si="0"/>
        <v>0</v>
      </c>
    </row>
    <row r="15" spans="1:15" ht="21.75">
      <c r="A15" s="153" t="s">
        <v>103</v>
      </c>
      <c r="B15" s="170" t="s">
        <v>48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29"/>
      <c r="M15" s="129"/>
      <c r="N15" s="129"/>
      <c r="O15" s="129">
        <f t="shared" si="0"/>
        <v>0</v>
      </c>
    </row>
    <row r="16" spans="1:15" ht="21.75">
      <c r="A16" s="153" t="s">
        <v>104</v>
      </c>
      <c r="B16" s="170" t="s">
        <v>28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29"/>
      <c r="M16" s="129"/>
      <c r="N16" s="129"/>
      <c r="O16" s="132">
        <f t="shared" si="0"/>
        <v>0</v>
      </c>
    </row>
    <row r="17" spans="1:15" ht="24" thickBot="1">
      <c r="A17" s="482" t="s">
        <v>68</v>
      </c>
      <c r="B17" s="482"/>
      <c r="C17" s="137">
        <f aca="true" t="shared" si="1" ref="C17:O17">SUM(C7:C16)</f>
        <v>0</v>
      </c>
      <c r="D17" s="137">
        <f t="shared" si="1"/>
        <v>0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7">
        <f t="shared" si="1"/>
        <v>0</v>
      </c>
      <c r="I17" s="137">
        <f t="shared" si="1"/>
        <v>0</v>
      </c>
      <c r="J17" s="137">
        <f t="shared" si="1"/>
        <v>0</v>
      </c>
      <c r="K17" s="137">
        <f t="shared" si="1"/>
        <v>0</v>
      </c>
      <c r="L17" s="137">
        <f t="shared" si="1"/>
        <v>0</v>
      </c>
      <c r="M17" s="137">
        <f t="shared" si="1"/>
        <v>0</v>
      </c>
      <c r="N17" s="137">
        <f t="shared" si="1"/>
        <v>0</v>
      </c>
      <c r="O17" s="137">
        <f t="shared" si="1"/>
        <v>0</v>
      </c>
    </row>
    <row r="18" ht="22.5" thickTop="1"/>
    <row r="20" s="59" customFormat="1" ht="23.25">
      <c r="A20" s="59" t="s">
        <v>458</v>
      </c>
    </row>
    <row r="21" s="59" customFormat="1" ht="23.25">
      <c r="A21" s="59" t="s">
        <v>274</v>
      </c>
    </row>
  </sheetData>
  <sheetProtection/>
  <mergeCells count="7">
    <mergeCell ref="A17:B17"/>
    <mergeCell ref="A1:O1"/>
    <mergeCell ref="A2:O2"/>
    <mergeCell ref="A3:O3"/>
    <mergeCell ref="A5:A6"/>
    <mergeCell ref="B5:B6"/>
    <mergeCell ref="C5:O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29.57421875" style="145" customWidth="1"/>
    <col min="2" max="2" width="13.421875" style="145" customWidth="1"/>
    <col min="3" max="3" width="13.00390625" style="145" customWidth="1"/>
    <col min="4" max="4" width="14.140625" style="145" customWidth="1"/>
    <col min="5" max="5" width="14.00390625" style="145" customWidth="1"/>
    <col min="6" max="6" width="12.7109375" style="145" customWidth="1"/>
    <col min="7" max="7" width="11.57421875" style="145" customWidth="1"/>
    <col min="8" max="8" width="12.421875" style="145" customWidth="1"/>
    <col min="9" max="9" width="11.140625" style="145" customWidth="1"/>
    <col min="10" max="10" width="10.57421875" style="145" customWidth="1"/>
    <col min="11" max="11" width="11.7109375" style="145" customWidth="1"/>
    <col min="12" max="12" width="12.28125" style="145" customWidth="1"/>
    <col min="13" max="13" width="11.8515625" style="145" customWidth="1"/>
    <col min="14" max="14" width="10.8515625" style="145" customWidth="1"/>
    <col min="15" max="15" width="11.00390625" style="145" customWidth="1"/>
    <col min="16" max="16" width="9.421875" style="145" customWidth="1"/>
    <col min="17" max="17" width="11.421875" style="145" customWidth="1"/>
    <col min="18" max="16384" width="9.00390625" style="145" customWidth="1"/>
  </cols>
  <sheetData>
    <row r="1" spans="1:17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21.75">
      <c r="A2" s="486" t="s">
        <v>40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5" spans="1:17" s="150" customFormat="1" ht="108.75">
      <c r="A5" s="163" t="s">
        <v>31</v>
      </c>
      <c r="B5" s="163" t="s">
        <v>29</v>
      </c>
      <c r="C5" s="173" t="s">
        <v>260</v>
      </c>
      <c r="D5" s="173" t="s">
        <v>261</v>
      </c>
      <c r="E5" s="163" t="s">
        <v>68</v>
      </c>
      <c r="F5" s="146" t="s">
        <v>151</v>
      </c>
      <c r="G5" s="146" t="s">
        <v>152</v>
      </c>
      <c r="H5" s="147" t="s">
        <v>153</v>
      </c>
      <c r="I5" s="146" t="s">
        <v>174</v>
      </c>
      <c r="J5" s="146" t="s">
        <v>154</v>
      </c>
      <c r="K5" s="146" t="s">
        <v>155</v>
      </c>
      <c r="L5" s="146" t="s">
        <v>156</v>
      </c>
      <c r="M5" s="146" t="s">
        <v>157</v>
      </c>
      <c r="N5" s="146" t="s">
        <v>158</v>
      </c>
      <c r="O5" s="146" t="s">
        <v>159</v>
      </c>
      <c r="P5" s="146" t="s">
        <v>160</v>
      </c>
      <c r="Q5" s="148" t="s">
        <v>49</v>
      </c>
    </row>
    <row r="6" spans="1:17" s="150" customFormat="1" ht="21.75">
      <c r="A6" s="174" t="s">
        <v>33</v>
      </c>
      <c r="B6" s="175"/>
      <c r="C6" s="176"/>
      <c r="D6" s="177"/>
      <c r="E6" s="176">
        <f aca="true" t="shared" si="0" ref="E6:E17">SUM(F6:Q6)</f>
        <v>0</v>
      </c>
      <c r="F6" s="178"/>
      <c r="G6" s="178"/>
      <c r="H6" s="177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150" customFormat="1" ht="21.75">
      <c r="A7" s="179" t="s">
        <v>49</v>
      </c>
      <c r="B7" s="373">
        <v>11486905</v>
      </c>
      <c r="C7" s="129">
        <f>SUM(E7)</f>
        <v>10934169</v>
      </c>
      <c r="D7" s="180"/>
      <c r="E7" s="181">
        <f t="shared" si="0"/>
        <v>10934169</v>
      </c>
      <c r="F7" s="241"/>
      <c r="G7" s="241"/>
      <c r="H7" s="242"/>
      <c r="I7" s="241"/>
      <c r="J7" s="241"/>
      <c r="K7" s="241"/>
      <c r="L7" s="241"/>
      <c r="M7" s="241"/>
      <c r="N7" s="241"/>
      <c r="O7" s="241"/>
      <c r="P7" s="241"/>
      <c r="Q7" s="396">
        <f>+ตามแผนงานรวม!O18</f>
        <v>10934169</v>
      </c>
    </row>
    <row r="8" spans="1:17" s="150" customFormat="1" ht="21.75">
      <c r="A8" s="153" t="s">
        <v>97</v>
      </c>
      <c r="B8" s="169">
        <v>2311920</v>
      </c>
      <c r="C8" s="378">
        <f>SUM(F8:Q8)</f>
        <v>2254320</v>
      </c>
      <c r="D8" s="129"/>
      <c r="E8" s="181">
        <f t="shared" si="0"/>
        <v>2254320</v>
      </c>
      <c r="F8" s="226">
        <f>+ตามแผนงานรวม!D8</f>
        <v>2254320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43"/>
    </row>
    <row r="9" spans="1:17" s="150" customFormat="1" ht="21.75">
      <c r="A9" s="153" t="s">
        <v>98</v>
      </c>
      <c r="B9" s="169">
        <f>6111063+2042320+1425300</f>
        <v>9578683</v>
      </c>
      <c r="C9" s="378">
        <f aca="true" t="shared" si="1" ref="C9:C17">SUM(F9:Q9)</f>
        <v>7415679</v>
      </c>
      <c r="D9" s="129"/>
      <c r="E9" s="181">
        <f t="shared" si="0"/>
        <v>7415679</v>
      </c>
      <c r="F9" s="129">
        <f>+ตามแผนงานรวม!D9</f>
        <v>5344466</v>
      </c>
      <c r="G9" s="129">
        <f>+ตามแผนงานรวม!E10</f>
        <v>0</v>
      </c>
      <c r="H9" s="129">
        <f>+ตามแผนงานรวม!F9</f>
        <v>1370753</v>
      </c>
      <c r="I9" s="129">
        <f>+ตามแผนงานรวม!G10</f>
        <v>0</v>
      </c>
      <c r="J9" s="129">
        <f>+ตามแผนงานรวม!H10</f>
        <v>0</v>
      </c>
      <c r="K9" s="129">
        <f>+ตามแผนงานรวม!I9</f>
        <v>700460</v>
      </c>
      <c r="L9" s="398">
        <v>0</v>
      </c>
      <c r="M9" s="397">
        <v>0</v>
      </c>
      <c r="N9" s="129">
        <f>+ตามแผนงานรวม!L10</f>
        <v>0</v>
      </c>
      <c r="O9" s="397">
        <v>0</v>
      </c>
      <c r="P9" s="129">
        <f>+ตามแผนงานรวม!N10</f>
        <v>0</v>
      </c>
      <c r="Q9" s="182"/>
    </row>
    <row r="10" spans="1:17" s="150" customFormat="1" ht="21.75">
      <c r="A10" s="170" t="s">
        <v>45</v>
      </c>
      <c r="B10" s="161">
        <f>1025120+204230+159025</f>
        <v>1388375</v>
      </c>
      <c r="C10" s="378">
        <f t="shared" si="1"/>
        <v>1228911</v>
      </c>
      <c r="D10" s="129"/>
      <c r="E10" s="181">
        <f t="shared" si="0"/>
        <v>1228911</v>
      </c>
      <c r="F10" s="129">
        <f>+ตามแผนงานรวม!D10</f>
        <v>925656</v>
      </c>
      <c r="G10" s="397">
        <v>0</v>
      </c>
      <c r="H10" s="129">
        <f>+ตามแผนงานรวม!F10</f>
        <v>168230</v>
      </c>
      <c r="I10" s="129">
        <f>+ตามแผนงานรวม!G11</f>
        <v>0</v>
      </c>
      <c r="J10" s="129">
        <f>+ตามแผนงานรวม!H11</f>
        <v>0</v>
      </c>
      <c r="K10" s="129">
        <f>+ตามแผนงานรวม!I10</f>
        <v>135025</v>
      </c>
      <c r="L10" s="129">
        <f>+ตามแผนงานรวม!J10</f>
        <v>0</v>
      </c>
      <c r="M10" s="129">
        <f>+ตามแผนงานรวม!K10</f>
        <v>0</v>
      </c>
      <c r="N10" s="129">
        <f>+ตามแผนงานรวม!L11</f>
        <v>0</v>
      </c>
      <c r="O10" s="129">
        <f>+ตามแผนงานรวม!M10</f>
        <v>0</v>
      </c>
      <c r="P10" s="129">
        <f>+ตามแผนงานรวม!N11</f>
        <v>0</v>
      </c>
      <c r="Q10" s="182"/>
    </row>
    <row r="11" spans="1:17" s="150" customFormat="1" ht="21.75">
      <c r="A11" s="170" t="s">
        <v>46</v>
      </c>
      <c r="B11" s="161">
        <f>940000+52750+861200+35000+20000+426000+252250+120000+150000</f>
        <v>2857200</v>
      </c>
      <c r="C11" s="378">
        <f t="shared" si="1"/>
        <v>2145593.84</v>
      </c>
      <c r="D11" s="129"/>
      <c r="E11" s="181">
        <f t="shared" si="0"/>
        <v>2145593.84</v>
      </c>
      <c r="F11" s="129">
        <f>+ตามแผนงานรวม!D11</f>
        <v>614432.84</v>
      </c>
      <c r="G11" s="129">
        <f>+ตามแผนงานรวม!E11</f>
        <v>31150</v>
      </c>
      <c r="H11" s="129">
        <f>+ตามแผนงานรวม!F11</f>
        <v>765088</v>
      </c>
      <c r="I11" s="129">
        <v>0</v>
      </c>
      <c r="J11" s="129">
        <f>+ตามแผนงานรวม!H12</f>
        <v>0</v>
      </c>
      <c r="K11" s="129">
        <f>+ตามแผนงานรวม!I11</f>
        <v>399408</v>
      </c>
      <c r="L11" s="129">
        <f>+ตามแผนงานรวม!J11</f>
        <v>176125</v>
      </c>
      <c r="M11" s="129">
        <f>+ตามแผนงานรวม!K11</f>
        <v>57330</v>
      </c>
      <c r="N11" s="129">
        <f>+ตามแผนงานรวม!L12</f>
        <v>0</v>
      </c>
      <c r="O11" s="129">
        <f>+ตามแผนงานรวม!M11</f>
        <v>102060</v>
      </c>
      <c r="P11" s="129">
        <f>+ตามแผนงานรวม!N12</f>
        <v>0</v>
      </c>
      <c r="Q11" s="182"/>
    </row>
    <row r="12" spans="1:17" s="150" customFormat="1" ht="21.75">
      <c r="A12" s="170" t="s">
        <v>47</v>
      </c>
      <c r="B12" s="161">
        <f>565000+1031440+121500+85000+20000</f>
        <v>1822940</v>
      </c>
      <c r="C12" s="378">
        <f t="shared" si="1"/>
        <v>1595540.73</v>
      </c>
      <c r="D12" s="129"/>
      <c r="E12" s="181">
        <f t="shared" si="0"/>
        <v>1595540.73</v>
      </c>
      <c r="F12" s="129">
        <f>+ตามแผนงานรวม!D12</f>
        <v>436347.45</v>
      </c>
      <c r="G12" s="129">
        <f>+ตามแผนงานรวม!E13</f>
        <v>0</v>
      </c>
      <c r="H12" s="129">
        <f>+ตามแผนงานรวม!F12</f>
        <v>1011127.28</v>
      </c>
      <c r="I12" s="129">
        <f>+ตามแผนงานรวม!G12</f>
        <v>101500</v>
      </c>
      <c r="J12" s="129">
        <f>+ตามแผนงานรวม!H13</f>
        <v>0</v>
      </c>
      <c r="K12" s="129">
        <f>+ตามแผนงานรวม!I12</f>
        <v>46566</v>
      </c>
      <c r="L12" s="129">
        <f>+ตามแผนงานรวม!J12</f>
        <v>0</v>
      </c>
      <c r="M12" s="129">
        <f>+ตามแผนงานรวม!K12</f>
        <v>0</v>
      </c>
      <c r="N12" s="129">
        <f>+ตามแผนงานรวม!L13</f>
        <v>0</v>
      </c>
      <c r="O12" s="129">
        <f>+ตามแผนงานรวม!M12</f>
        <v>0</v>
      </c>
      <c r="P12" s="129">
        <f>+ตามแผนงานรวม!N13</f>
        <v>0</v>
      </c>
      <c r="Q12" s="182"/>
    </row>
    <row r="13" spans="1:17" s="150" customFormat="1" ht="21.75">
      <c r="A13" s="170" t="s">
        <v>100</v>
      </c>
      <c r="B13" s="161">
        <f>375000+8000</f>
        <v>383000</v>
      </c>
      <c r="C13" s="378">
        <f t="shared" si="1"/>
        <v>251631.77000000002</v>
      </c>
      <c r="D13" s="129"/>
      <c r="E13" s="181">
        <f t="shared" si="0"/>
        <v>251631.77000000002</v>
      </c>
      <c r="F13" s="129">
        <f>+ตามแผนงานรวม!D13</f>
        <v>246481.35</v>
      </c>
      <c r="G13" s="129">
        <f>+ตามแผนงานรวม!E14</f>
        <v>0</v>
      </c>
      <c r="H13" s="129">
        <f>+ตามแผนงานรวม!F13</f>
        <v>5150.42</v>
      </c>
      <c r="I13" s="397">
        <v>0</v>
      </c>
      <c r="J13" s="129">
        <f>+ตามแผนงานรวม!H14</f>
        <v>0</v>
      </c>
      <c r="K13" s="129">
        <f>+ตามแผนงานรวม!I13</f>
        <v>0</v>
      </c>
      <c r="L13" s="129">
        <f>+ตามแผนงานรวม!J13</f>
        <v>0</v>
      </c>
      <c r="M13" s="129">
        <f>+ตามแผนงานรวม!K13</f>
        <v>0</v>
      </c>
      <c r="N13" s="129">
        <f>+ตามแผนงานรวม!L14</f>
        <v>0</v>
      </c>
      <c r="O13" s="129">
        <f>+ตามแผนงานรวม!M13</f>
        <v>0</v>
      </c>
      <c r="P13" s="129">
        <f>+ตามแผนงานรวม!N14</f>
        <v>0</v>
      </c>
      <c r="Q13" s="182"/>
    </row>
    <row r="14" spans="1:17" s="150" customFormat="1" ht="21.75">
      <c r="A14" s="170" t="s">
        <v>165</v>
      </c>
      <c r="B14" s="161">
        <f>50500+51500+118000+63800</f>
        <v>283800</v>
      </c>
      <c r="C14" s="378">
        <f t="shared" si="1"/>
        <v>210800</v>
      </c>
      <c r="D14" s="129"/>
      <c r="E14" s="181">
        <f t="shared" si="0"/>
        <v>210800</v>
      </c>
      <c r="F14" s="129">
        <f>+ตามแผนงานรวม!D14</f>
        <v>41300</v>
      </c>
      <c r="G14" s="129">
        <f>+ตามแผนงานรวม!E15</f>
        <v>0</v>
      </c>
      <c r="H14" s="129">
        <f>+ตามแผนงานรวม!F14</f>
        <v>51500</v>
      </c>
      <c r="I14" s="129">
        <f>+ตามแผนงานรวม!G14</f>
        <v>118000</v>
      </c>
      <c r="J14" s="129">
        <f>+ตามแผนงานรวม!H15</f>
        <v>0</v>
      </c>
      <c r="K14" s="129">
        <f>+ตามแผนงานรวม!I14</f>
        <v>0</v>
      </c>
      <c r="L14" s="129">
        <f>+ตามแผนงานรวม!J14</f>
        <v>0</v>
      </c>
      <c r="M14" s="129">
        <f>+ตามแผนงานรวม!K14</f>
        <v>0</v>
      </c>
      <c r="N14" s="129">
        <f>+ตามแผนงานรวม!L15</f>
        <v>0</v>
      </c>
      <c r="O14" s="129">
        <f>+ตามแผนงานรวม!M14</f>
        <v>0</v>
      </c>
      <c r="P14" s="129">
        <f>+ตามแผนงานรวม!N15</f>
        <v>0</v>
      </c>
      <c r="Q14" s="182"/>
    </row>
    <row r="15" spans="1:17" s="150" customFormat="1" ht="21.75">
      <c r="A15" s="170" t="s">
        <v>166</v>
      </c>
      <c r="B15" s="161">
        <f>40500+420000+3264677</f>
        <v>3725177</v>
      </c>
      <c r="C15" s="378">
        <f t="shared" si="1"/>
        <v>3435342</v>
      </c>
      <c r="D15" s="129">
        <v>4533580</v>
      </c>
      <c r="E15" s="181">
        <f>SUM(C15:D15)</f>
        <v>7968922</v>
      </c>
      <c r="F15" s="129">
        <f>+ตามแผนงานรวม!D15</f>
        <v>36450</v>
      </c>
      <c r="G15" s="129">
        <f>+ตามแผนงานรวม!E16</f>
        <v>0</v>
      </c>
      <c r="H15" s="129">
        <f>+ตามแผนงานรวม!F15</f>
        <v>365000</v>
      </c>
      <c r="I15" s="129">
        <f>+ตามแผนงานรวม!G16</f>
        <v>0</v>
      </c>
      <c r="J15" s="129">
        <f>+ตามแผนงานรวม!H16</f>
        <v>0</v>
      </c>
      <c r="K15" s="129">
        <f>+ตามแผนงานรวม!I15</f>
        <v>3033892</v>
      </c>
      <c r="L15" s="129">
        <f>+ตามแผนงานรวม!J15</f>
        <v>0</v>
      </c>
      <c r="M15" s="129">
        <f>+ตามแผนงานรวม!K15</f>
        <v>0</v>
      </c>
      <c r="N15" s="129">
        <f>+ตามแผนงานรวม!L16</f>
        <v>0</v>
      </c>
      <c r="O15" s="129">
        <f>+ตามแผนงานรวม!M15</f>
        <v>0</v>
      </c>
      <c r="P15" s="129">
        <f>+ตามแผนงานรวม!N16</f>
        <v>0</v>
      </c>
      <c r="Q15" s="182"/>
    </row>
    <row r="16" spans="1:17" s="150" customFormat="1" ht="21.75">
      <c r="A16" s="170" t="s">
        <v>48</v>
      </c>
      <c r="B16" s="161">
        <v>25000</v>
      </c>
      <c r="C16" s="378">
        <f t="shared" si="1"/>
        <v>20000</v>
      </c>
      <c r="D16" s="129"/>
      <c r="E16" s="181">
        <f t="shared" si="0"/>
        <v>20000</v>
      </c>
      <c r="F16" s="129">
        <f>+ตามแผนงานรวม!D16</f>
        <v>20000</v>
      </c>
      <c r="G16" s="129">
        <f>+ตามแผนงานรวม!E17</f>
        <v>0</v>
      </c>
      <c r="H16" s="129">
        <f>+ตามแผนงานรวม!F16</f>
        <v>0</v>
      </c>
      <c r="I16" s="129">
        <f>+ตามแผนงานรวม!G17</f>
        <v>0</v>
      </c>
      <c r="J16" s="129">
        <f>+ตามแผนงานรวม!H17</f>
        <v>0</v>
      </c>
      <c r="K16" s="129">
        <f>+ตามแผนงานรวม!I16</f>
        <v>0</v>
      </c>
      <c r="L16" s="129">
        <f>+ตามแผนงานรวม!J16</f>
        <v>0</v>
      </c>
      <c r="M16" s="129">
        <f>+ตามแผนงานรวม!K16</f>
        <v>0</v>
      </c>
      <c r="N16" s="129">
        <f>+ตามแผนงานรวม!L17</f>
        <v>0</v>
      </c>
      <c r="O16" s="129">
        <f>+ตามแผนงานรวม!M16</f>
        <v>0</v>
      </c>
      <c r="P16" s="129">
        <f>+ตามแผนงานรวม!N17</f>
        <v>0</v>
      </c>
      <c r="Q16" s="182"/>
    </row>
    <row r="17" spans="1:17" s="150" customFormat="1" ht="21.75">
      <c r="A17" s="183" t="s">
        <v>28</v>
      </c>
      <c r="B17" s="184">
        <f>1360000+67000+710000</f>
        <v>2137000</v>
      </c>
      <c r="C17" s="378">
        <f t="shared" si="1"/>
        <v>1997713.19</v>
      </c>
      <c r="D17" s="132"/>
      <c r="E17" s="185">
        <f t="shared" si="0"/>
        <v>1997713.19</v>
      </c>
      <c r="F17" s="129">
        <f>+ตามแผนงานรวม!D17</f>
        <v>0</v>
      </c>
      <c r="G17" s="129">
        <f>+ตามแผนงานรวม!E18</f>
        <v>0</v>
      </c>
      <c r="H17" s="129">
        <f>+ตามแผนงานรวม!F17</f>
        <v>1324000</v>
      </c>
      <c r="I17" s="129">
        <f>+ตามแผนงานรวม!G18</f>
        <v>0</v>
      </c>
      <c r="J17" s="129">
        <f>+ตามแผนงานรวม!H18</f>
        <v>0</v>
      </c>
      <c r="K17" s="129">
        <f>+ตามแผนงานรวม!I17</f>
        <v>673713.19</v>
      </c>
      <c r="L17" s="129">
        <f>+ตามแผนงานรวม!J17</f>
        <v>0</v>
      </c>
      <c r="M17" s="129">
        <f>+ตามแผนงานรวม!K17</f>
        <v>0</v>
      </c>
      <c r="N17" s="129">
        <f>+ตามแผนงานรวม!L18</f>
        <v>0</v>
      </c>
      <c r="O17" s="129">
        <f>+ตามแผนงานรวม!M17</f>
        <v>0</v>
      </c>
      <c r="P17" s="129">
        <f>+ตามแผนงานรวม!N18</f>
        <v>0</v>
      </c>
      <c r="Q17" s="186"/>
    </row>
    <row r="18" spans="1:17" s="150" customFormat="1" ht="25.5" customHeight="1" thickBot="1">
      <c r="A18" s="163" t="s">
        <v>167</v>
      </c>
      <c r="B18" s="187">
        <f>SUM(B7:B17)</f>
        <v>36000000</v>
      </c>
      <c r="C18" s="187">
        <f>SUM(C7:C17)</f>
        <v>31489700.53</v>
      </c>
      <c r="D18" s="187">
        <f>SUM(D7:D17)</f>
        <v>4533580</v>
      </c>
      <c r="E18" s="187">
        <f>SUM(E6:E17)</f>
        <v>36023280.53</v>
      </c>
      <c r="F18" s="188">
        <f>SUM(F7:F17)</f>
        <v>9919453.639999999</v>
      </c>
      <c r="G18" s="188">
        <f aca="true" t="shared" si="2" ref="G18:Q18">SUM(G7:G17)</f>
        <v>31150</v>
      </c>
      <c r="H18" s="188">
        <f>SUM(H7:H17)</f>
        <v>5060848.7</v>
      </c>
      <c r="I18" s="188">
        <f t="shared" si="2"/>
        <v>219500</v>
      </c>
      <c r="J18" s="188">
        <f t="shared" si="2"/>
        <v>0</v>
      </c>
      <c r="K18" s="188">
        <f>SUM(K7:K17)</f>
        <v>4989064.1899999995</v>
      </c>
      <c r="L18" s="188">
        <f>SUM(L7:L17)</f>
        <v>176125</v>
      </c>
      <c r="M18" s="188">
        <f>SUM(M7:M17)</f>
        <v>57330</v>
      </c>
      <c r="N18" s="188">
        <f t="shared" si="2"/>
        <v>0</v>
      </c>
      <c r="O18" s="188">
        <f>SUM(O7:O17)</f>
        <v>102060</v>
      </c>
      <c r="P18" s="188">
        <f t="shared" si="2"/>
        <v>0</v>
      </c>
      <c r="Q18" s="188">
        <f t="shared" si="2"/>
        <v>10934169</v>
      </c>
    </row>
    <row r="19" spans="1:17" s="150" customFormat="1" ht="22.5" thickTop="1">
      <c r="A19" s="189" t="s">
        <v>32</v>
      </c>
      <c r="B19" s="190"/>
      <c r="C19" s="181"/>
      <c r="D19" s="181"/>
      <c r="E19" s="181"/>
      <c r="F19" s="191"/>
      <c r="G19" s="191"/>
      <c r="H19" s="18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ht="21.75">
      <c r="A20" s="153" t="s">
        <v>41</v>
      </c>
      <c r="B20" s="169">
        <v>155000</v>
      </c>
      <c r="C20" s="129">
        <v>205100.88</v>
      </c>
      <c r="D20" s="129"/>
      <c r="E20" s="383">
        <v>205100.88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t="21.75">
      <c r="A21" s="153" t="s">
        <v>42</v>
      </c>
      <c r="B21" s="169">
        <v>94000</v>
      </c>
      <c r="C21" s="129">
        <v>129334.1</v>
      </c>
      <c r="D21" s="129"/>
      <c r="E21" s="383">
        <v>129334.1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21.75">
      <c r="A22" s="170" t="s">
        <v>262</v>
      </c>
      <c r="B22" s="161">
        <v>0</v>
      </c>
      <c r="C22" s="129">
        <v>0</v>
      </c>
      <c r="D22" s="129"/>
      <c r="E22" s="383">
        <v>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ht="21.75">
      <c r="A23" s="170" t="s">
        <v>51</v>
      </c>
      <c r="B23" s="161">
        <v>200000</v>
      </c>
      <c r="C23" s="129">
        <v>117995.26</v>
      </c>
      <c r="D23" s="129"/>
      <c r="E23" s="383">
        <v>117995.26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21.75">
      <c r="A24" s="170" t="s">
        <v>43</v>
      </c>
      <c r="B24" s="161">
        <v>101000</v>
      </c>
      <c r="C24" s="129">
        <v>8384</v>
      </c>
      <c r="D24" s="129"/>
      <c r="E24" s="383">
        <v>8384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ht="21.75">
      <c r="A25" s="170" t="s">
        <v>44</v>
      </c>
      <c r="B25" s="161">
        <v>0</v>
      </c>
      <c r="C25" s="129">
        <v>0</v>
      </c>
      <c r="D25" s="129"/>
      <c r="E25" s="383">
        <v>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21.75">
      <c r="A26" s="170" t="s">
        <v>263</v>
      </c>
      <c r="B26" s="161">
        <v>15450000</v>
      </c>
      <c r="C26" s="129">
        <v>17168424.49</v>
      </c>
      <c r="D26" s="129"/>
      <c r="E26" s="383">
        <v>17168424.49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t="21.75">
      <c r="A27" s="170" t="s">
        <v>264</v>
      </c>
      <c r="B27" s="161">
        <v>20000000</v>
      </c>
      <c r="C27" s="129">
        <v>17114412</v>
      </c>
      <c r="D27" s="129"/>
      <c r="E27" s="383">
        <v>17114412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29"/>
      <c r="P27" s="129"/>
      <c r="Q27" s="129"/>
    </row>
    <row r="28" spans="1:17" ht="21.75">
      <c r="A28" s="170" t="s">
        <v>265</v>
      </c>
      <c r="B28" s="161"/>
      <c r="C28" s="129">
        <v>4533580</v>
      </c>
      <c r="D28" s="129"/>
      <c r="E28" s="383">
        <v>4533580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29"/>
      <c r="P28" s="129"/>
      <c r="Q28" s="129"/>
    </row>
    <row r="29" spans="1:17" ht="24" thickBot="1">
      <c r="A29" s="192" t="s">
        <v>38</v>
      </c>
      <c r="B29" s="193">
        <f aca="true" t="shared" si="3" ref="B29:Q29">SUM(B20:B28)</f>
        <v>36000000</v>
      </c>
      <c r="C29" s="379">
        <f t="shared" si="3"/>
        <v>39277230.73</v>
      </c>
      <c r="D29" s="379">
        <f t="shared" si="3"/>
        <v>0</v>
      </c>
      <c r="E29" s="379">
        <f t="shared" si="3"/>
        <v>39277230.73</v>
      </c>
      <c r="F29" s="194">
        <f t="shared" si="3"/>
        <v>0</v>
      </c>
      <c r="G29" s="194">
        <f t="shared" si="3"/>
        <v>0</v>
      </c>
      <c r="H29" s="194">
        <f t="shared" si="3"/>
        <v>0</v>
      </c>
      <c r="I29" s="194">
        <f t="shared" si="3"/>
        <v>0</v>
      </c>
      <c r="J29" s="194">
        <f t="shared" si="3"/>
        <v>0</v>
      </c>
      <c r="K29" s="194">
        <f t="shared" si="3"/>
        <v>0</v>
      </c>
      <c r="L29" s="194">
        <f t="shared" si="3"/>
        <v>0</v>
      </c>
      <c r="M29" s="194">
        <f t="shared" si="3"/>
        <v>0</v>
      </c>
      <c r="N29" s="194">
        <f t="shared" si="3"/>
        <v>0</v>
      </c>
      <c r="O29" s="194">
        <f t="shared" si="3"/>
        <v>0</v>
      </c>
      <c r="P29" s="194">
        <f t="shared" si="3"/>
        <v>0</v>
      </c>
      <c r="Q29" s="194">
        <f t="shared" si="3"/>
        <v>0</v>
      </c>
    </row>
    <row r="30" spans="1:5" ht="23.25" thickBot="1" thickTop="1">
      <c r="A30" s="195" t="s">
        <v>168</v>
      </c>
      <c r="C30" s="380"/>
      <c r="D30" s="381"/>
      <c r="E30" s="382">
        <f>+E29-E18</f>
        <v>3253950.1999999955</v>
      </c>
    </row>
    <row r="31" ht="27.75" customHeight="1" thickTop="1"/>
    <row r="32" ht="27.75" customHeight="1">
      <c r="A32" s="88" t="s">
        <v>266</v>
      </c>
    </row>
    <row r="33" ht="17.25" customHeight="1">
      <c r="A33" s="88"/>
    </row>
    <row r="35" spans="1:14" s="59" customFormat="1" ht="23.25">
      <c r="A35" s="487" t="s">
        <v>492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</row>
    <row r="36" spans="1:14" s="59" customFormat="1" ht="23.25">
      <c r="A36" s="487" t="s">
        <v>493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</sheetData>
  <sheetProtection/>
  <mergeCells count="5">
    <mergeCell ref="A1:Q1"/>
    <mergeCell ref="A2:Q2"/>
    <mergeCell ref="A3:Q3"/>
    <mergeCell ref="A35:N35"/>
    <mergeCell ref="A36:N36"/>
  </mergeCells>
  <printOptions/>
  <pageMargins left="0" right="0.31496062992125984" top="0.15748031496062992" bottom="0" header="0.31496062992125984" footer="0.31496062992125984"/>
  <pageSetup horizontalDpi="600" verticalDpi="600" orientation="landscape" paperSize="9" scale="60" r:id="rId1"/>
  <headerFooter differentFirst="1">
    <oddHeader>&amp;Cหน้าที่ 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G8" sqref="G8"/>
    </sheetView>
  </sheetViews>
  <sheetFormatPr defaultColWidth="9.140625" defaultRowHeight="15"/>
  <cols>
    <col min="1" max="1" width="32.8515625" style="145" bestFit="1" customWidth="1"/>
    <col min="2" max="2" width="18.7109375" style="145" customWidth="1"/>
    <col min="3" max="4" width="18.28125" style="145" customWidth="1"/>
    <col min="5" max="6" width="15.7109375" style="145" customWidth="1"/>
    <col min="7" max="7" width="14.57421875" style="145" customWidth="1"/>
    <col min="8" max="8" width="15.7109375" style="145" customWidth="1"/>
    <col min="9" max="9" width="13.7109375" style="145" customWidth="1"/>
    <col min="10" max="10" width="13.28125" style="145" customWidth="1"/>
    <col min="11" max="11" width="15.00390625" style="145" customWidth="1"/>
    <col min="12" max="12" width="14.00390625" style="145" customWidth="1"/>
    <col min="13" max="13" width="12.7109375" style="145" customWidth="1"/>
    <col min="14" max="14" width="12.28125" style="145" customWidth="1"/>
    <col min="15" max="15" width="13.57421875" style="145" customWidth="1"/>
    <col min="16" max="16" width="11.7109375" style="145" customWidth="1"/>
    <col min="17" max="17" width="13.421875" style="145" customWidth="1"/>
    <col min="18" max="16384" width="9.00390625" style="145" customWidth="1"/>
  </cols>
  <sheetData>
    <row r="1" spans="1:17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</row>
    <row r="2" spans="1:17" ht="21.75">
      <c r="A2" s="486" t="s">
        <v>169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</row>
    <row r="4" ht="12.75" customHeight="1"/>
    <row r="5" spans="1:17" s="375" customFormat="1" ht="108.75">
      <c r="A5" s="163" t="s">
        <v>31</v>
      </c>
      <c r="B5" s="163" t="s">
        <v>29</v>
      </c>
      <c r="C5" s="173" t="s">
        <v>260</v>
      </c>
      <c r="D5" s="173" t="s">
        <v>261</v>
      </c>
      <c r="E5" s="163" t="s">
        <v>68</v>
      </c>
      <c r="F5" s="146" t="s">
        <v>151</v>
      </c>
      <c r="G5" s="146" t="s">
        <v>152</v>
      </c>
      <c r="H5" s="147" t="s">
        <v>153</v>
      </c>
      <c r="I5" s="146" t="s">
        <v>174</v>
      </c>
      <c r="J5" s="146" t="s">
        <v>154</v>
      </c>
      <c r="K5" s="146" t="s">
        <v>155</v>
      </c>
      <c r="L5" s="146" t="s">
        <v>156</v>
      </c>
      <c r="M5" s="146" t="s">
        <v>157</v>
      </c>
      <c r="N5" s="146" t="s">
        <v>158</v>
      </c>
      <c r="O5" s="146" t="s">
        <v>159</v>
      </c>
      <c r="P5" s="146" t="s">
        <v>160</v>
      </c>
      <c r="Q5" s="148" t="s">
        <v>49</v>
      </c>
    </row>
    <row r="6" spans="1:17" s="375" customFormat="1" ht="21.75">
      <c r="A6" s="399" t="s">
        <v>33</v>
      </c>
      <c r="B6" s="400"/>
      <c r="C6" s="401"/>
      <c r="D6" s="402"/>
      <c r="E6" s="401"/>
      <c r="F6" s="403"/>
      <c r="G6" s="403"/>
      <c r="H6" s="402"/>
      <c r="I6" s="403"/>
      <c r="J6" s="403"/>
      <c r="K6" s="403"/>
      <c r="L6" s="403"/>
      <c r="M6" s="403"/>
      <c r="N6" s="403"/>
      <c r="O6" s="403"/>
      <c r="P6" s="403"/>
      <c r="Q6" s="403"/>
    </row>
    <row r="7" spans="1:17" s="375" customFormat="1" ht="21.75">
      <c r="A7" s="404" t="s">
        <v>49</v>
      </c>
      <c r="B7" s="405">
        <v>11486905</v>
      </c>
      <c r="C7" s="406">
        <f>SUM(E7)</f>
        <v>10934169</v>
      </c>
      <c r="D7" s="407"/>
      <c r="E7" s="408">
        <f aca="true" t="shared" si="0" ref="E7:E17">SUM(F7:Q7)</f>
        <v>10934169</v>
      </c>
      <c r="F7" s="409"/>
      <c r="G7" s="409"/>
      <c r="H7" s="410"/>
      <c r="I7" s="409"/>
      <c r="J7" s="409"/>
      <c r="K7" s="409"/>
      <c r="L7" s="409"/>
      <c r="M7" s="409"/>
      <c r="N7" s="409"/>
      <c r="O7" s="409"/>
      <c r="P7" s="409"/>
      <c r="Q7" s="411">
        <f>+ตามแผนงานรวม!O18</f>
        <v>10934169</v>
      </c>
    </row>
    <row r="8" spans="1:17" s="375" customFormat="1" ht="21.75">
      <c r="A8" s="412" t="s">
        <v>97</v>
      </c>
      <c r="B8" s="413">
        <v>2311920</v>
      </c>
      <c r="C8" s="414">
        <f>SUM(F8:Q8)</f>
        <v>2254320</v>
      </c>
      <c r="D8" s="406"/>
      <c r="E8" s="408">
        <f t="shared" si="0"/>
        <v>2254320</v>
      </c>
      <c r="F8" s="415">
        <f>+ตามแผนงานรวม!D8</f>
        <v>2254320</v>
      </c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</row>
    <row r="9" spans="1:17" s="375" customFormat="1" ht="21.75">
      <c r="A9" s="412" t="s">
        <v>98</v>
      </c>
      <c r="B9" s="413">
        <f>6111063+2042320+1425300</f>
        <v>9578683</v>
      </c>
      <c r="C9" s="414">
        <f aca="true" t="shared" si="1" ref="C9:C17">SUM(F9:Q9)</f>
        <v>7415679</v>
      </c>
      <c r="D9" s="406"/>
      <c r="E9" s="408">
        <f t="shared" si="0"/>
        <v>7415679</v>
      </c>
      <c r="F9" s="406">
        <f>+ตามแผนงานรวม!D9</f>
        <v>5344466</v>
      </c>
      <c r="G9" s="406">
        <f>+ตามแผนงานรวม!E10</f>
        <v>0</v>
      </c>
      <c r="H9" s="406">
        <f>+ตามแผนงานรวม!F9</f>
        <v>1370753</v>
      </c>
      <c r="I9" s="406">
        <f>+ตามแผนงานรวม!G10</f>
        <v>0</v>
      </c>
      <c r="J9" s="406">
        <f>+ตามแผนงานรวม!H10</f>
        <v>0</v>
      </c>
      <c r="K9" s="406">
        <f>+ตามแผนงานรวม!I9</f>
        <v>700460</v>
      </c>
      <c r="L9" s="416">
        <v>0</v>
      </c>
      <c r="M9" s="417">
        <v>0</v>
      </c>
      <c r="N9" s="406">
        <f>+ตามแผนงานรวม!L10</f>
        <v>0</v>
      </c>
      <c r="O9" s="417">
        <v>0</v>
      </c>
      <c r="P9" s="406">
        <f>+ตามแผนงานรวม!N10</f>
        <v>0</v>
      </c>
      <c r="Q9" s="406"/>
    </row>
    <row r="10" spans="1:17" s="375" customFormat="1" ht="21.75">
      <c r="A10" s="418" t="s">
        <v>45</v>
      </c>
      <c r="B10" s="419">
        <f>1025120+204230+159025</f>
        <v>1388375</v>
      </c>
      <c r="C10" s="414">
        <f t="shared" si="1"/>
        <v>1228911</v>
      </c>
      <c r="D10" s="406"/>
      <c r="E10" s="408">
        <f t="shared" si="0"/>
        <v>1228911</v>
      </c>
      <c r="F10" s="406">
        <f>+ตามแผนงานรวม!D10</f>
        <v>925656</v>
      </c>
      <c r="G10" s="417">
        <v>0</v>
      </c>
      <c r="H10" s="406">
        <f>+ตามแผนงานรวม!F10</f>
        <v>168230</v>
      </c>
      <c r="I10" s="406">
        <f>+ตามแผนงานรวม!G11</f>
        <v>0</v>
      </c>
      <c r="J10" s="406">
        <f>+ตามแผนงานรวม!H11</f>
        <v>0</v>
      </c>
      <c r="K10" s="406">
        <f>+ตามแผนงานรวม!I10</f>
        <v>135025</v>
      </c>
      <c r="L10" s="406">
        <f>+ตามแผนงานรวม!J10</f>
        <v>0</v>
      </c>
      <c r="M10" s="406">
        <f>+ตามแผนงานรวม!K10</f>
        <v>0</v>
      </c>
      <c r="N10" s="406">
        <f>+ตามแผนงานรวม!L11</f>
        <v>0</v>
      </c>
      <c r="O10" s="406">
        <f>+ตามแผนงานรวม!M10</f>
        <v>0</v>
      </c>
      <c r="P10" s="406">
        <f>+ตามแผนงานรวม!N11</f>
        <v>0</v>
      </c>
      <c r="Q10" s="406"/>
    </row>
    <row r="11" spans="1:17" s="375" customFormat="1" ht="21.75">
      <c r="A11" s="418" t="s">
        <v>46</v>
      </c>
      <c r="B11" s="419">
        <f>940000+52750+861200+35000+20000+426000+252250+120000+150000</f>
        <v>2857200</v>
      </c>
      <c r="C11" s="414">
        <f t="shared" si="1"/>
        <v>2145593.84</v>
      </c>
      <c r="D11" s="406"/>
      <c r="E11" s="408">
        <f t="shared" si="0"/>
        <v>2145593.84</v>
      </c>
      <c r="F11" s="406">
        <f>+ตามแผนงานรวม!D11</f>
        <v>614432.84</v>
      </c>
      <c r="G11" s="406">
        <f>+ตามแผนงานรวม!E11</f>
        <v>31150</v>
      </c>
      <c r="H11" s="406">
        <f>+ตามแผนงานรวม!F11</f>
        <v>765088</v>
      </c>
      <c r="I11" s="406">
        <v>0</v>
      </c>
      <c r="J11" s="406">
        <f>+ตามแผนงานรวม!H12</f>
        <v>0</v>
      </c>
      <c r="K11" s="406">
        <f>+ตามแผนงานรวม!I11</f>
        <v>399408</v>
      </c>
      <c r="L11" s="406">
        <f>+ตามแผนงานรวม!J11</f>
        <v>176125</v>
      </c>
      <c r="M11" s="406">
        <f>+ตามแผนงานรวม!K11</f>
        <v>57330</v>
      </c>
      <c r="N11" s="406">
        <f>+ตามแผนงานรวม!L12</f>
        <v>0</v>
      </c>
      <c r="O11" s="406">
        <f>+ตามแผนงานรวม!M11</f>
        <v>102060</v>
      </c>
      <c r="P11" s="406">
        <f>+ตามแผนงานรวม!N12</f>
        <v>0</v>
      </c>
      <c r="Q11" s="406"/>
    </row>
    <row r="12" spans="1:17" s="375" customFormat="1" ht="21.75">
      <c r="A12" s="418" t="s">
        <v>47</v>
      </c>
      <c r="B12" s="419">
        <f>565000+1031440+121500+85000+20000</f>
        <v>1822940</v>
      </c>
      <c r="C12" s="414">
        <f t="shared" si="1"/>
        <v>1595540.73</v>
      </c>
      <c r="D12" s="406"/>
      <c r="E12" s="408">
        <f t="shared" si="0"/>
        <v>1595540.73</v>
      </c>
      <c r="F12" s="406">
        <f>+ตามแผนงานรวม!D12</f>
        <v>436347.45</v>
      </c>
      <c r="G12" s="406">
        <f>+ตามแผนงานรวม!E13</f>
        <v>0</v>
      </c>
      <c r="H12" s="406">
        <f>+ตามแผนงานรวม!F12</f>
        <v>1011127.28</v>
      </c>
      <c r="I12" s="406">
        <f>+ตามแผนงานรวม!G12</f>
        <v>101500</v>
      </c>
      <c r="J12" s="406">
        <f>+ตามแผนงานรวม!H13</f>
        <v>0</v>
      </c>
      <c r="K12" s="406">
        <f>+ตามแผนงานรวม!I12</f>
        <v>46566</v>
      </c>
      <c r="L12" s="406">
        <f>+ตามแผนงานรวม!J12</f>
        <v>0</v>
      </c>
      <c r="M12" s="406">
        <f>+ตามแผนงานรวม!K12</f>
        <v>0</v>
      </c>
      <c r="N12" s="406">
        <f>+ตามแผนงานรวม!L13</f>
        <v>0</v>
      </c>
      <c r="O12" s="406">
        <f>+ตามแผนงานรวม!M12</f>
        <v>0</v>
      </c>
      <c r="P12" s="406">
        <f>+ตามแผนงานรวม!N13</f>
        <v>0</v>
      </c>
      <c r="Q12" s="406"/>
    </row>
    <row r="13" spans="1:17" s="375" customFormat="1" ht="21.75">
      <c r="A13" s="418" t="s">
        <v>100</v>
      </c>
      <c r="B13" s="419">
        <f>375000+8000</f>
        <v>383000</v>
      </c>
      <c r="C13" s="414">
        <f t="shared" si="1"/>
        <v>251631.77000000002</v>
      </c>
      <c r="D13" s="406"/>
      <c r="E13" s="408">
        <f t="shared" si="0"/>
        <v>251631.77000000002</v>
      </c>
      <c r="F13" s="406">
        <f>+ตามแผนงานรวม!D13</f>
        <v>246481.35</v>
      </c>
      <c r="G13" s="406">
        <f>+ตามแผนงานรวม!E14</f>
        <v>0</v>
      </c>
      <c r="H13" s="406">
        <f>+ตามแผนงานรวม!F13</f>
        <v>5150.42</v>
      </c>
      <c r="I13" s="417">
        <v>0</v>
      </c>
      <c r="J13" s="406">
        <f>+ตามแผนงานรวม!H14</f>
        <v>0</v>
      </c>
      <c r="K13" s="406">
        <f>+ตามแผนงานรวม!I13</f>
        <v>0</v>
      </c>
      <c r="L13" s="406">
        <f>+ตามแผนงานรวม!J13</f>
        <v>0</v>
      </c>
      <c r="M13" s="406">
        <f>+ตามแผนงานรวม!K13</f>
        <v>0</v>
      </c>
      <c r="N13" s="406">
        <f>+ตามแผนงานรวม!L14</f>
        <v>0</v>
      </c>
      <c r="O13" s="406">
        <f>+ตามแผนงานรวม!M13</f>
        <v>0</v>
      </c>
      <c r="P13" s="406">
        <f>+ตามแผนงานรวม!N14</f>
        <v>0</v>
      </c>
      <c r="Q13" s="406"/>
    </row>
    <row r="14" spans="1:17" s="375" customFormat="1" ht="21.75">
      <c r="A14" s="418" t="s">
        <v>165</v>
      </c>
      <c r="B14" s="419">
        <f>50500+51500+118000+63800</f>
        <v>283800</v>
      </c>
      <c r="C14" s="414">
        <f t="shared" si="1"/>
        <v>210800</v>
      </c>
      <c r="D14" s="406"/>
      <c r="E14" s="408">
        <f t="shared" si="0"/>
        <v>210800</v>
      </c>
      <c r="F14" s="406">
        <f>+ตามแผนงานรวม!D14</f>
        <v>41300</v>
      </c>
      <c r="G14" s="406">
        <f>+ตามแผนงานรวม!E15</f>
        <v>0</v>
      </c>
      <c r="H14" s="406">
        <f>+ตามแผนงานรวม!F14</f>
        <v>51500</v>
      </c>
      <c r="I14" s="406">
        <f>+ตามแผนงานรวม!G14</f>
        <v>118000</v>
      </c>
      <c r="J14" s="406">
        <f>+ตามแผนงานรวม!H15</f>
        <v>0</v>
      </c>
      <c r="K14" s="406">
        <f>+ตามแผนงานรวม!I14</f>
        <v>0</v>
      </c>
      <c r="L14" s="406">
        <f>+ตามแผนงานรวม!J14</f>
        <v>0</v>
      </c>
      <c r="M14" s="406">
        <f>+ตามแผนงานรวม!K14</f>
        <v>0</v>
      </c>
      <c r="N14" s="406">
        <f>+ตามแผนงานรวม!L15</f>
        <v>0</v>
      </c>
      <c r="O14" s="406">
        <f>+ตามแผนงานรวม!M14</f>
        <v>0</v>
      </c>
      <c r="P14" s="406">
        <f>+ตามแผนงานรวม!N15</f>
        <v>0</v>
      </c>
      <c r="Q14" s="406"/>
    </row>
    <row r="15" spans="1:17" s="375" customFormat="1" ht="21.75">
      <c r="A15" s="418" t="s">
        <v>166</v>
      </c>
      <c r="B15" s="419">
        <f>40500+420000+3264677</f>
        <v>3725177</v>
      </c>
      <c r="C15" s="414">
        <f t="shared" si="1"/>
        <v>3435342</v>
      </c>
      <c r="D15" s="406">
        <v>4533580</v>
      </c>
      <c r="E15" s="408">
        <f>SUM(C15:D15)</f>
        <v>7968922</v>
      </c>
      <c r="F15" s="406">
        <f>+ตามแผนงานรวม!D15</f>
        <v>36450</v>
      </c>
      <c r="G15" s="406">
        <f>+ตามแผนงานรวม!E16</f>
        <v>0</v>
      </c>
      <c r="H15" s="406">
        <f>+ตามแผนงานรวม!F15</f>
        <v>365000</v>
      </c>
      <c r="I15" s="406">
        <f>+ตามแผนงานรวม!G16</f>
        <v>0</v>
      </c>
      <c r="J15" s="406">
        <f>+ตามแผนงานรวม!H16</f>
        <v>0</v>
      </c>
      <c r="K15" s="406">
        <f>+ตามแผนงานรวม!I15</f>
        <v>3033892</v>
      </c>
      <c r="L15" s="406">
        <f>+ตามแผนงานรวม!J15</f>
        <v>0</v>
      </c>
      <c r="M15" s="406">
        <f>+ตามแผนงานรวม!K15</f>
        <v>0</v>
      </c>
      <c r="N15" s="406">
        <f>+ตามแผนงานรวม!L16</f>
        <v>0</v>
      </c>
      <c r="O15" s="406">
        <f>+ตามแผนงานรวม!M15</f>
        <v>0</v>
      </c>
      <c r="P15" s="406">
        <f>+ตามแผนงานรวม!N16</f>
        <v>0</v>
      </c>
      <c r="Q15" s="406"/>
    </row>
    <row r="16" spans="1:17" s="375" customFormat="1" ht="21.75">
      <c r="A16" s="418" t="s">
        <v>48</v>
      </c>
      <c r="B16" s="419">
        <v>25000</v>
      </c>
      <c r="C16" s="414">
        <f t="shared" si="1"/>
        <v>20000</v>
      </c>
      <c r="D16" s="406"/>
      <c r="E16" s="408">
        <f t="shared" si="0"/>
        <v>20000</v>
      </c>
      <c r="F16" s="406">
        <f>+ตามแผนงานรวม!D16</f>
        <v>20000</v>
      </c>
      <c r="G16" s="406">
        <f>+ตามแผนงานรวม!E17</f>
        <v>0</v>
      </c>
      <c r="H16" s="406">
        <f>+ตามแผนงานรวม!F16</f>
        <v>0</v>
      </c>
      <c r="I16" s="406">
        <f>+ตามแผนงานรวม!G17</f>
        <v>0</v>
      </c>
      <c r="J16" s="406">
        <f>+ตามแผนงานรวม!H17</f>
        <v>0</v>
      </c>
      <c r="K16" s="406">
        <f>+ตามแผนงานรวม!I16</f>
        <v>0</v>
      </c>
      <c r="L16" s="406">
        <f>+ตามแผนงานรวม!J16</f>
        <v>0</v>
      </c>
      <c r="M16" s="406">
        <f>+ตามแผนงานรวม!K16</f>
        <v>0</v>
      </c>
      <c r="N16" s="406">
        <f>+ตามแผนงานรวม!L17</f>
        <v>0</v>
      </c>
      <c r="O16" s="406">
        <f>+ตามแผนงานรวม!M16</f>
        <v>0</v>
      </c>
      <c r="P16" s="406">
        <f>+ตามแผนงานรวม!N17</f>
        <v>0</v>
      </c>
      <c r="Q16" s="406"/>
    </row>
    <row r="17" spans="1:17" s="375" customFormat="1" ht="21.75">
      <c r="A17" s="420" t="s">
        <v>28</v>
      </c>
      <c r="B17" s="421">
        <f>1360000+67000+710000</f>
        <v>2137000</v>
      </c>
      <c r="C17" s="414">
        <f t="shared" si="1"/>
        <v>1997713.19</v>
      </c>
      <c r="D17" s="422"/>
      <c r="E17" s="423">
        <f t="shared" si="0"/>
        <v>1997713.19</v>
      </c>
      <c r="F17" s="406">
        <f>+ตามแผนงานรวม!D17</f>
        <v>0</v>
      </c>
      <c r="G17" s="406">
        <f>+ตามแผนงานรวม!E18</f>
        <v>0</v>
      </c>
      <c r="H17" s="406">
        <f>+ตามแผนงานรวม!F17</f>
        <v>1324000</v>
      </c>
      <c r="I17" s="406">
        <f>+ตามแผนงานรวม!G18</f>
        <v>0</v>
      </c>
      <c r="J17" s="406">
        <f>+ตามแผนงานรวม!H18</f>
        <v>0</v>
      </c>
      <c r="K17" s="406">
        <f>+ตามแผนงานรวม!I17</f>
        <v>673713.19</v>
      </c>
      <c r="L17" s="406">
        <f>+ตามแผนงานรวม!J17</f>
        <v>0</v>
      </c>
      <c r="M17" s="406">
        <f>+ตามแผนงานรวม!K17</f>
        <v>0</v>
      </c>
      <c r="N17" s="406">
        <f>+ตามแผนงานรวม!L18</f>
        <v>0</v>
      </c>
      <c r="O17" s="406">
        <f>+ตามแผนงานรวม!M17</f>
        <v>0</v>
      </c>
      <c r="P17" s="406">
        <f>+ตามแผนงานรวม!N18</f>
        <v>0</v>
      </c>
      <c r="Q17" s="422"/>
    </row>
    <row r="18" spans="1:17" s="375" customFormat="1" ht="25.5" customHeight="1" thickBot="1">
      <c r="A18" s="424" t="s">
        <v>167</v>
      </c>
      <c r="B18" s="425">
        <f>SUM(B7:B17)</f>
        <v>36000000</v>
      </c>
      <c r="C18" s="425">
        <f>SUM(C7:C17)</f>
        <v>31489700.53</v>
      </c>
      <c r="D18" s="425">
        <f>SUM(D7:D17)</f>
        <v>4533580</v>
      </c>
      <c r="E18" s="425">
        <f>SUM(E7:E17)</f>
        <v>36023280.53</v>
      </c>
      <c r="F18" s="426">
        <f>SUM(F7:F17)</f>
        <v>9919453.639999999</v>
      </c>
      <c r="G18" s="426">
        <f aca="true" t="shared" si="2" ref="G18:Q18">SUM(G7:G17)</f>
        <v>31150</v>
      </c>
      <c r="H18" s="426">
        <f>SUM(H7:H17)</f>
        <v>5060848.7</v>
      </c>
      <c r="I18" s="426">
        <f t="shared" si="2"/>
        <v>219500</v>
      </c>
      <c r="J18" s="426">
        <f t="shared" si="2"/>
        <v>0</v>
      </c>
      <c r="K18" s="426">
        <f>SUM(K7:K17)</f>
        <v>4989064.1899999995</v>
      </c>
      <c r="L18" s="426">
        <f>SUM(L7:L17)</f>
        <v>176125</v>
      </c>
      <c r="M18" s="426">
        <f>SUM(M7:M17)</f>
        <v>57330</v>
      </c>
      <c r="N18" s="426">
        <f t="shared" si="2"/>
        <v>0</v>
      </c>
      <c r="O18" s="426">
        <f>SUM(O7:O17)</f>
        <v>102060</v>
      </c>
      <c r="P18" s="426">
        <f t="shared" si="2"/>
        <v>0</v>
      </c>
      <c r="Q18" s="426">
        <f t="shared" si="2"/>
        <v>10934169</v>
      </c>
    </row>
    <row r="19" spans="1:17" s="375" customFormat="1" ht="22.5" thickTop="1">
      <c r="A19" s="427" t="s">
        <v>32</v>
      </c>
      <c r="B19" s="428"/>
      <c r="C19" s="408"/>
      <c r="D19" s="408"/>
      <c r="E19" s="408"/>
      <c r="F19" s="429"/>
      <c r="G19" s="429"/>
      <c r="H19" s="408"/>
      <c r="I19" s="429"/>
      <c r="J19" s="429"/>
      <c r="K19" s="429"/>
      <c r="L19" s="429"/>
      <c r="M19" s="429"/>
      <c r="N19" s="429"/>
      <c r="O19" s="429"/>
      <c r="P19" s="429"/>
      <c r="Q19" s="429"/>
    </row>
    <row r="20" spans="1:17" ht="21.75">
      <c r="A20" s="412" t="s">
        <v>41</v>
      </c>
      <c r="B20" s="413">
        <v>155000</v>
      </c>
      <c r="C20" s="406">
        <v>205100.88</v>
      </c>
      <c r="D20" s="406"/>
      <c r="E20" s="430">
        <v>205100.88</v>
      </c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406"/>
      <c r="Q20" s="406"/>
    </row>
    <row r="21" spans="1:17" ht="21.75">
      <c r="A21" s="412" t="s">
        <v>42</v>
      </c>
      <c r="B21" s="413">
        <v>94000</v>
      </c>
      <c r="C21" s="406">
        <v>129334.1</v>
      </c>
      <c r="D21" s="406"/>
      <c r="E21" s="430">
        <v>129334.1</v>
      </c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</row>
    <row r="22" spans="1:17" ht="21.75">
      <c r="A22" s="418" t="s">
        <v>262</v>
      </c>
      <c r="B22" s="419">
        <v>0</v>
      </c>
      <c r="C22" s="406">
        <v>0</v>
      </c>
      <c r="D22" s="406"/>
      <c r="E22" s="430">
        <v>0</v>
      </c>
      <c r="F22" s="406"/>
      <c r="G22" s="406"/>
      <c r="H22" s="406"/>
      <c r="I22" s="406"/>
      <c r="J22" s="406"/>
      <c r="K22" s="406"/>
      <c r="L22" s="406"/>
      <c r="M22" s="406"/>
      <c r="N22" s="406"/>
      <c r="O22" s="406"/>
      <c r="P22" s="406"/>
      <c r="Q22" s="406"/>
    </row>
    <row r="23" spans="1:17" ht="21.75">
      <c r="A23" s="418" t="s">
        <v>51</v>
      </c>
      <c r="B23" s="419">
        <v>200000</v>
      </c>
      <c r="C23" s="406">
        <v>117995.26</v>
      </c>
      <c r="D23" s="406"/>
      <c r="E23" s="430">
        <v>117995.26</v>
      </c>
      <c r="F23" s="406"/>
      <c r="G23" s="406"/>
      <c r="H23" s="406"/>
      <c r="I23" s="406"/>
      <c r="J23" s="406"/>
      <c r="K23" s="406"/>
      <c r="L23" s="406"/>
      <c r="M23" s="406"/>
      <c r="N23" s="406"/>
      <c r="O23" s="406"/>
      <c r="P23" s="406"/>
      <c r="Q23" s="406"/>
    </row>
    <row r="24" spans="1:17" ht="21.75">
      <c r="A24" s="418" t="s">
        <v>43</v>
      </c>
      <c r="B24" s="419">
        <v>101000</v>
      </c>
      <c r="C24" s="406">
        <v>8384</v>
      </c>
      <c r="D24" s="406"/>
      <c r="E24" s="430">
        <v>8384</v>
      </c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06"/>
      <c r="Q24" s="406"/>
    </row>
    <row r="25" spans="1:17" ht="21.75">
      <c r="A25" s="418" t="s">
        <v>44</v>
      </c>
      <c r="B25" s="419">
        <v>0</v>
      </c>
      <c r="C25" s="406">
        <v>0</v>
      </c>
      <c r="D25" s="406"/>
      <c r="E25" s="430">
        <v>0</v>
      </c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</row>
    <row r="26" spans="1:17" ht="21.75">
      <c r="A26" s="418" t="s">
        <v>263</v>
      </c>
      <c r="B26" s="419">
        <v>15450000</v>
      </c>
      <c r="C26" s="406">
        <v>17168424.49</v>
      </c>
      <c r="D26" s="406"/>
      <c r="E26" s="430">
        <v>17168424.49</v>
      </c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</row>
    <row r="27" spans="1:17" ht="21.75">
      <c r="A27" s="418" t="s">
        <v>264</v>
      </c>
      <c r="B27" s="419">
        <v>20000000</v>
      </c>
      <c r="C27" s="406">
        <v>17114412</v>
      </c>
      <c r="D27" s="406"/>
      <c r="E27" s="430">
        <v>17114412</v>
      </c>
      <c r="F27" s="419"/>
      <c r="G27" s="419"/>
      <c r="H27" s="419"/>
      <c r="I27" s="419"/>
      <c r="J27" s="419"/>
      <c r="K27" s="419"/>
      <c r="L27" s="419"/>
      <c r="M27" s="419"/>
      <c r="N27" s="419"/>
      <c r="O27" s="406"/>
      <c r="P27" s="406"/>
      <c r="Q27" s="406"/>
    </row>
    <row r="28" spans="1:17" ht="21.75">
      <c r="A28" s="418" t="s">
        <v>265</v>
      </c>
      <c r="B28" s="419"/>
      <c r="C28" s="406">
        <v>4533580</v>
      </c>
      <c r="D28" s="406"/>
      <c r="E28" s="430">
        <v>4533580</v>
      </c>
      <c r="F28" s="419"/>
      <c r="G28" s="419"/>
      <c r="H28" s="419"/>
      <c r="I28" s="419"/>
      <c r="J28" s="419"/>
      <c r="K28" s="419"/>
      <c r="L28" s="419"/>
      <c r="M28" s="419"/>
      <c r="N28" s="419"/>
      <c r="O28" s="406"/>
      <c r="P28" s="406"/>
      <c r="Q28" s="406"/>
    </row>
    <row r="29" spans="1:17" ht="22.5" thickBot="1">
      <c r="A29" s="431" t="s">
        <v>38</v>
      </c>
      <c r="B29" s="432">
        <f aca="true" t="shared" si="3" ref="B29:Q29">SUM(B20:B28)</f>
        <v>36000000</v>
      </c>
      <c r="C29" s="433">
        <f t="shared" si="3"/>
        <v>39277230.73</v>
      </c>
      <c r="D29" s="433">
        <f t="shared" si="3"/>
        <v>0</v>
      </c>
      <c r="E29" s="433">
        <f t="shared" si="3"/>
        <v>39277230.73</v>
      </c>
      <c r="F29" s="434">
        <f t="shared" si="3"/>
        <v>0</v>
      </c>
      <c r="G29" s="434">
        <f t="shared" si="3"/>
        <v>0</v>
      </c>
      <c r="H29" s="434">
        <f t="shared" si="3"/>
        <v>0</v>
      </c>
      <c r="I29" s="434">
        <f t="shared" si="3"/>
        <v>0</v>
      </c>
      <c r="J29" s="434">
        <f t="shared" si="3"/>
        <v>0</v>
      </c>
      <c r="K29" s="434">
        <f t="shared" si="3"/>
        <v>0</v>
      </c>
      <c r="L29" s="434">
        <f t="shared" si="3"/>
        <v>0</v>
      </c>
      <c r="M29" s="434">
        <f t="shared" si="3"/>
        <v>0</v>
      </c>
      <c r="N29" s="434">
        <f t="shared" si="3"/>
        <v>0</v>
      </c>
      <c r="O29" s="434">
        <f t="shared" si="3"/>
        <v>0</v>
      </c>
      <c r="P29" s="434">
        <f t="shared" si="3"/>
        <v>0</v>
      </c>
      <c r="Q29" s="434">
        <f t="shared" si="3"/>
        <v>0</v>
      </c>
    </row>
    <row r="30" spans="1:5" ht="23.25" thickBot="1" thickTop="1">
      <c r="A30" s="195" t="s">
        <v>168</v>
      </c>
      <c r="C30" s="380"/>
      <c r="D30" s="381"/>
      <c r="E30" s="382">
        <f>+E29-E18</f>
        <v>3253950.1999999955</v>
      </c>
    </row>
    <row r="31" ht="27.75" customHeight="1" thickTop="1"/>
    <row r="32" spans="1:14" ht="27.75" customHeight="1">
      <c r="A32" s="435" t="s">
        <v>266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</row>
    <row r="33" spans="1:14" ht="21.75">
      <c r="A33" s="436"/>
      <c r="B33" s="436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</row>
    <row r="34" spans="1:14" ht="21.75">
      <c r="A34" s="436"/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</row>
    <row r="35" spans="1:14" s="59" customFormat="1" ht="23.25">
      <c r="A35" s="488" t="s">
        <v>492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</row>
    <row r="36" spans="1:14" s="59" customFormat="1" ht="23.25">
      <c r="A36" s="488" t="s">
        <v>494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</row>
  </sheetData>
  <sheetProtection/>
  <mergeCells count="5">
    <mergeCell ref="A1:Q1"/>
    <mergeCell ref="A2:Q2"/>
    <mergeCell ref="A3:Q3"/>
    <mergeCell ref="A35:N35"/>
    <mergeCell ref="A36:N36"/>
  </mergeCells>
  <printOptions/>
  <pageMargins left="0.07874015748031496" right="0" top="0.1968503937007874" bottom="0" header="0.31496062992125984" footer="0.31496062992125984"/>
  <pageSetup horizontalDpi="600" verticalDpi="600" orientation="landscape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22">
      <selection activeCell="H39" sqref="H39"/>
    </sheetView>
  </sheetViews>
  <sheetFormatPr defaultColWidth="9.140625" defaultRowHeight="15"/>
  <cols>
    <col min="1" max="1" width="32.8515625" style="145" bestFit="1" customWidth="1"/>
    <col min="2" max="2" width="15.00390625" style="145" customWidth="1"/>
    <col min="3" max="3" width="14.7109375" style="145" customWidth="1"/>
    <col min="4" max="6" width="12.57421875" style="145" customWidth="1"/>
    <col min="7" max="7" width="10.00390625" style="145" customWidth="1"/>
    <col min="8" max="8" width="11.7109375" style="145" customWidth="1"/>
    <col min="9" max="9" width="11.28125" style="145" customWidth="1"/>
    <col min="10" max="10" width="9.421875" style="145" customWidth="1"/>
    <col min="11" max="11" width="11.8515625" style="145" customWidth="1"/>
    <col min="12" max="12" width="11.421875" style="145" customWidth="1"/>
    <col min="13" max="13" width="11.7109375" style="145" customWidth="1"/>
    <col min="14" max="14" width="11.00390625" style="145" customWidth="1"/>
    <col min="15" max="15" width="10.28125" style="145" customWidth="1"/>
    <col min="16" max="16" width="8.140625" style="145" customWidth="1"/>
    <col min="17" max="17" width="12.140625" style="145" bestFit="1" customWidth="1"/>
    <col min="18" max="16384" width="9.00390625" style="145" customWidth="1"/>
  </cols>
  <sheetData>
    <row r="1" spans="1:1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1.75">
      <c r="A2" s="486" t="s">
        <v>170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5" spans="1:17" s="375" customFormat="1" ht="20.25" customHeight="1">
      <c r="A5" s="163" t="s">
        <v>31</v>
      </c>
      <c r="B5" s="163" t="s">
        <v>29</v>
      </c>
      <c r="C5" s="173" t="s">
        <v>260</v>
      </c>
      <c r="D5" s="173" t="s">
        <v>261</v>
      </c>
      <c r="E5" s="163" t="s">
        <v>68</v>
      </c>
      <c r="F5" s="146" t="s">
        <v>151</v>
      </c>
      <c r="G5" s="146" t="s">
        <v>152</v>
      </c>
      <c r="H5" s="147" t="s">
        <v>153</v>
      </c>
      <c r="I5" s="146" t="s">
        <v>174</v>
      </c>
      <c r="J5" s="146" t="s">
        <v>154</v>
      </c>
      <c r="K5" s="146" t="s">
        <v>155</v>
      </c>
      <c r="L5" s="146" t="s">
        <v>156</v>
      </c>
      <c r="M5" s="146" t="s">
        <v>157</v>
      </c>
      <c r="N5" s="146" t="s">
        <v>158</v>
      </c>
      <c r="O5" s="146" t="s">
        <v>159</v>
      </c>
      <c r="P5" s="146" t="s">
        <v>160</v>
      </c>
      <c r="Q5" s="148" t="s">
        <v>49</v>
      </c>
    </row>
    <row r="6" spans="1:17" s="375" customFormat="1" ht="20.25" customHeight="1">
      <c r="A6" s="174" t="s">
        <v>33</v>
      </c>
      <c r="B6" s="175"/>
      <c r="C6" s="176"/>
      <c r="D6" s="177"/>
      <c r="E6" s="176">
        <f>SUM(F6:Q6)</f>
        <v>0</v>
      </c>
      <c r="F6" s="178"/>
      <c r="G6" s="178"/>
      <c r="H6" s="177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375" customFormat="1" ht="20.25" customHeight="1">
      <c r="A7" s="179" t="s">
        <v>49</v>
      </c>
      <c r="B7" s="373">
        <v>11486905</v>
      </c>
      <c r="C7" s="129">
        <f>SUM(E7)</f>
        <v>10934169</v>
      </c>
      <c r="D7" s="180"/>
      <c r="E7" s="181">
        <f aca="true" t="shared" si="0" ref="E7:E17">SUM(F7:Q7)</f>
        <v>10934169</v>
      </c>
      <c r="F7" s="241"/>
      <c r="G7" s="241"/>
      <c r="H7" s="242"/>
      <c r="I7" s="241"/>
      <c r="J7" s="241"/>
      <c r="K7" s="241"/>
      <c r="L7" s="241"/>
      <c r="M7" s="241"/>
      <c r="N7" s="241"/>
      <c r="O7" s="241"/>
      <c r="P7" s="241"/>
      <c r="Q7" s="396">
        <f>+ตามแผนงานรวม!O18</f>
        <v>10934169</v>
      </c>
    </row>
    <row r="8" spans="1:17" s="375" customFormat="1" ht="20.25" customHeight="1">
      <c r="A8" s="153" t="s">
        <v>97</v>
      </c>
      <c r="B8" s="169">
        <v>2311920</v>
      </c>
      <c r="C8" s="378">
        <f>SUM(F8:Q8)</f>
        <v>2254320</v>
      </c>
      <c r="D8" s="129"/>
      <c r="E8" s="181">
        <f t="shared" si="0"/>
        <v>2254320</v>
      </c>
      <c r="F8" s="226">
        <f>+ตามแผนงานรวม!D8</f>
        <v>2254320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43"/>
    </row>
    <row r="9" spans="1:17" s="375" customFormat="1" ht="20.25" customHeight="1">
      <c r="A9" s="153" t="s">
        <v>98</v>
      </c>
      <c r="B9" s="169">
        <f>6111063+2042320+1425300</f>
        <v>9578683</v>
      </c>
      <c r="C9" s="378">
        <f aca="true" t="shared" si="1" ref="C9:C17">SUM(F9:Q9)</f>
        <v>7415679</v>
      </c>
      <c r="D9" s="129"/>
      <c r="E9" s="181">
        <f t="shared" si="0"/>
        <v>7415679</v>
      </c>
      <c r="F9" s="129">
        <f>+ตามแผนงานรวม!D9</f>
        <v>5344466</v>
      </c>
      <c r="G9" s="129">
        <f>+ตามแผนงานรวม!E10</f>
        <v>0</v>
      </c>
      <c r="H9" s="129">
        <f>+ตามแผนงานรวม!F9</f>
        <v>1370753</v>
      </c>
      <c r="I9" s="129">
        <f>+ตามแผนงานรวม!G10</f>
        <v>0</v>
      </c>
      <c r="J9" s="129">
        <f>+ตามแผนงานรวม!H10</f>
        <v>0</v>
      </c>
      <c r="K9" s="129">
        <f>+ตามแผนงานรวม!I9</f>
        <v>700460</v>
      </c>
      <c r="L9" s="398">
        <v>0</v>
      </c>
      <c r="M9" s="397">
        <v>0</v>
      </c>
      <c r="N9" s="129">
        <f>+ตามแผนงานรวม!L10</f>
        <v>0</v>
      </c>
      <c r="O9" s="397">
        <v>0</v>
      </c>
      <c r="P9" s="129">
        <f>+ตามแผนงานรวม!N10</f>
        <v>0</v>
      </c>
      <c r="Q9" s="182"/>
    </row>
    <row r="10" spans="1:17" s="375" customFormat="1" ht="20.25" customHeight="1">
      <c r="A10" s="170" t="s">
        <v>45</v>
      </c>
      <c r="B10" s="161">
        <f>1025120+204230+159025</f>
        <v>1388375</v>
      </c>
      <c r="C10" s="378">
        <f t="shared" si="1"/>
        <v>1228911</v>
      </c>
      <c r="D10" s="129"/>
      <c r="E10" s="181">
        <f t="shared" si="0"/>
        <v>1228911</v>
      </c>
      <c r="F10" s="129">
        <f>+ตามแผนงานรวม!D10</f>
        <v>925656</v>
      </c>
      <c r="G10" s="397">
        <v>0</v>
      </c>
      <c r="H10" s="129">
        <f>+ตามแผนงานรวม!F10</f>
        <v>168230</v>
      </c>
      <c r="I10" s="129">
        <f>+ตามแผนงานรวม!G11</f>
        <v>0</v>
      </c>
      <c r="J10" s="129">
        <f>+ตามแผนงานรวม!H11</f>
        <v>0</v>
      </c>
      <c r="K10" s="129">
        <f>+ตามแผนงานรวม!I10</f>
        <v>135025</v>
      </c>
      <c r="L10" s="129">
        <f>+ตามแผนงานรวม!J10</f>
        <v>0</v>
      </c>
      <c r="M10" s="129">
        <f>+ตามแผนงานรวม!K10</f>
        <v>0</v>
      </c>
      <c r="N10" s="129">
        <f>+ตามแผนงานรวม!L11</f>
        <v>0</v>
      </c>
      <c r="O10" s="129">
        <f>+ตามแผนงานรวม!M10</f>
        <v>0</v>
      </c>
      <c r="P10" s="129">
        <f>+ตามแผนงานรวม!N11</f>
        <v>0</v>
      </c>
      <c r="Q10" s="182"/>
    </row>
    <row r="11" spans="1:17" s="375" customFormat="1" ht="20.25" customHeight="1">
      <c r="A11" s="170" t="s">
        <v>46</v>
      </c>
      <c r="B11" s="161">
        <f>940000+52750+861200+35000+20000+426000+252250+120000+150000</f>
        <v>2857200</v>
      </c>
      <c r="C11" s="378">
        <f t="shared" si="1"/>
        <v>2145593.84</v>
      </c>
      <c r="D11" s="129"/>
      <c r="E11" s="181">
        <f t="shared" si="0"/>
        <v>2145593.84</v>
      </c>
      <c r="F11" s="129">
        <f>+ตามแผนงานรวม!D11</f>
        <v>614432.84</v>
      </c>
      <c r="G11" s="129">
        <f>+ตามแผนงานรวม!E11</f>
        <v>31150</v>
      </c>
      <c r="H11" s="129">
        <f>+ตามแผนงานรวม!F11</f>
        <v>765088</v>
      </c>
      <c r="I11" s="129">
        <v>0</v>
      </c>
      <c r="J11" s="129">
        <f>+ตามแผนงานรวม!H12</f>
        <v>0</v>
      </c>
      <c r="K11" s="129">
        <f>+ตามแผนงานรวม!I11</f>
        <v>399408</v>
      </c>
      <c r="L11" s="129">
        <f>+ตามแผนงานรวม!J11</f>
        <v>176125</v>
      </c>
      <c r="M11" s="129">
        <f>+ตามแผนงานรวม!K11</f>
        <v>57330</v>
      </c>
      <c r="N11" s="129">
        <f>+ตามแผนงานรวม!L12</f>
        <v>0</v>
      </c>
      <c r="O11" s="129">
        <f>+ตามแผนงานรวม!M11</f>
        <v>102060</v>
      </c>
      <c r="P11" s="129">
        <f>+ตามแผนงานรวม!N12</f>
        <v>0</v>
      </c>
      <c r="Q11" s="182"/>
    </row>
    <row r="12" spans="1:17" s="375" customFormat="1" ht="20.25" customHeight="1">
      <c r="A12" s="170" t="s">
        <v>47</v>
      </c>
      <c r="B12" s="161">
        <f>565000+1031440+121500+85000+20000</f>
        <v>1822940</v>
      </c>
      <c r="C12" s="378">
        <f t="shared" si="1"/>
        <v>1595540.73</v>
      </c>
      <c r="D12" s="129"/>
      <c r="E12" s="181">
        <f t="shared" si="0"/>
        <v>1595540.73</v>
      </c>
      <c r="F12" s="129">
        <f>+ตามแผนงานรวม!D12</f>
        <v>436347.45</v>
      </c>
      <c r="G12" s="129">
        <f>+ตามแผนงานรวม!E13</f>
        <v>0</v>
      </c>
      <c r="H12" s="129">
        <f>+ตามแผนงานรวม!F12</f>
        <v>1011127.28</v>
      </c>
      <c r="I12" s="129">
        <f>+ตามแผนงานรวม!G12</f>
        <v>101500</v>
      </c>
      <c r="J12" s="129">
        <f>+ตามแผนงานรวม!H13</f>
        <v>0</v>
      </c>
      <c r="K12" s="129">
        <f>+ตามแผนงานรวม!I12</f>
        <v>46566</v>
      </c>
      <c r="L12" s="129">
        <f>+ตามแผนงานรวม!J12</f>
        <v>0</v>
      </c>
      <c r="M12" s="129">
        <f>+ตามแผนงานรวม!K12</f>
        <v>0</v>
      </c>
      <c r="N12" s="129">
        <f>+ตามแผนงานรวม!L13</f>
        <v>0</v>
      </c>
      <c r="O12" s="129">
        <f>+ตามแผนงานรวม!M12</f>
        <v>0</v>
      </c>
      <c r="P12" s="129">
        <f>+ตามแผนงานรวม!N13</f>
        <v>0</v>
      </c>
      <c r="Q12" s="182"/>
    </row>
    <row r="13" spans="1:17" s="375" customFormat="1" ht="20.25" customHeight="1">
      <c r="A13" s="170" t="s">
        <v>100</v>
      </c>
      <c r="B13" s="161">
        <f>375000+8000</f>
        <v>383000</v>
      </c>
      <c r="C13" s="378">
        <f t="shared" si="1"/>
        <v>251631.77000000002</v>
      </c>
      <c r="D13" s="129"/>
      <c r="E13" s="181">
        <f t="shared" si="0"/>
        <v>251631.77000000002</v>
      </c>
      <c r="F13" s="129">
        <f>+ตามแผนงานรวม!D13</f>
        <v>246481.35</v>
      </c>
      <c r="G13" s="129">
        <f>+ตามแผนงานรวม!E14</f>
        <v>0</v>
      </c>
      <c r="H13" s="129">
        <f>+ตามแผนงานรวม!F13</f>
        <v>5150.42</v>
      </c>
      <c r="I13" s="397">
        <v>0</v>
      </c>
      <c r="J13" s="129">
        <f>+ตามแผนงานรวม!H14</f>
        <v>0</v>
      </c>
      <c r="K13" s="129">
        <f>+ตามแผนงานรวม!I13</f>
        <v>0</v>
      </c>
      <c r="L13" s="129">
        <f>+ตามแผนงานรวม!J13</f>
        <v>0</v>
      </c>
      <c r="M13" s="129">
        <f>+ตามแผนงานรวม!K13</f>
        <v>0</v>
      </c>
      <c r="N13" s="129">
        <f>+ตามแผนงานรวม!L14</f>
        <v>0</v>
      </c>
      <c r="O13" s="129">
        <f>+ตามแผนงานรวม!M13</f>
        <v>0</v>
      </c>
      <c r="P13" s="129">
        <f>+ตามแผนงานรวม!N14</f>
        <v>0</v>
      </c>
      <c r="Q13" s="182"/>
    </row>
    <row r="14" spans="1:17" s="375" customFormat="1" ht="20.25" customHeight="1">
      <c r="A14" s="170" t="s">
        <v>165</v>
      </c>
      <c r="B14" s="161">
        <f>50500+51500+118000+63800</f>
        <v>283800</v>
      </c>
      <c r="C14" s="378">
        <f t="shared" si="1"/>
        <v>210800</v>
      </c>
      <c r="D14" s="129"/>
      <c r="E14" s="181">
        <f t="shared" si="0"/>
        <v>210800</v>
      </c>
      <c r="F14" s="129">
        <f>+ตามแผนงานรวม!D14</f>
        <v>41300</v>
      </c>
      <c r="G14" s="129">
        <f>+ตามแผนงานรวม!E15</f>
        <v>0</v>
      </c>
      <c r="H14" s="129">
        <f>+ตามแผนงานรวม!F14</f>
        <v>51500</v>
      </c>
      <c r="I14" s="129">
        <f>+ตามแผนงานรวม!G14</f>
        <v>118000</v>
      </c>
      <c r="J14" s="129">
        <f>+ตามแผนงานรวม!H15</f>
        <v>0</v>
      </c>
      <c r="K14" s="129">
        <f>+ตามแผนงานรวม!I14</f>
        <v>0</v>
      </c>
      <c r="L14" s="129">
        <f>+ตามแผนงานรวม!J14</f>
        <v>0</v>
      </c>
      <c r="M14" s="129">
        <f>+ตามแผนงานรวม!K14</f>
        <v>0</v>
      </c>
      <c r="N14" s="129">
        <f>+ตามแผนงานรวม!L15</f>
        <v>0</v>
      </c>
      <c r="O14" s="129">
        <f>+ตามแผนงานรวม!M14</f>
        <v>0</v>
      </c>
      <c r="P14" s="129">
        <f>+ตามแผนงานรวม!N15</f>
        <v>0</v>
      </c>
      <c r="Q14" s="182"/>
    </row>
    <row r="15" spans="1:17" s="375" customFormat="1" ht="20.25" customHeight="1">
      <c r="A15" s="170" t="s">
        <v>166</v>
      </c>
      <c r="B15" s="161">
        <f>40500+420000+3264677</f>
        <v>3725177</v>
      </c>
      <c r="C15" s="378">
        <f t="shared" si="1"/>
        <v>3435342</v>
      </c>
      <c r="D15" s="129">
        <v>4533580</v>
      </c>
      <c r="E15" s="181">
        <f>SUM(C15:D15)</f>
        <v>7968922</v>
      </c>
      <c r="F15" s="129">
        <f>+ตามแผนงานรวม!D15</f>
        <v>36450</v>
      </c>
      <c r="G15" s="129">
        <f>+ตามแผนงานรวม!E16</f>
        <v>0</v>
      </c>
      <c r="H15" s="129">
        <f>+ตามแผนงานรวม!F15</f>
        <v>365000</v>
      </c>
      <c r="I15" s="129">
        <f>+ตามแผนงานรวม!G16</f>
        <v>0</v>
      </c>
      <c r="J15" s="129">
        <f>+ตามแผนงานรวม!H16</f>
        <v>0</v>
      </c>
      <c r="K15" s="129">
        <f>+ตามแผนงานรวม!I15</f>
        <v>3033892</v>
      </c>
      <c r="L15" s="129">
        <f>+ตามแผนงานรวม!J15</f>
        <v>0</v>
      </c>
      <c r="M15" s="129">
        <f>+ตามแผนงานรวม!K15</f>
        <v>0</v>
      </c>
      <c r="N15" s="129">
        <f>+ตามแผนงานรวม!L16</f>
        <v>0</v>
      </c>
      <c r="O15" s="129">
        <f>+ตามแผนงานรวม!M15</f>
        <v>0</v>
      </c>
      <c r="P15" s="129">
        <f>+ตามแผนงานรวม!N16</f>
        <v>0</v>
      </c>
      <c r="Q15" s="182"/>
    </row>
    <row r="16" spans="1:17" s="375" customFormat="1" ht="20.25" customHeight="1">
      <c r="A16" s="170" t="s">
        <v>48</v>
      </c>
      <c r="B16" s="161">
        <v>25000</v>
      </c>
      <c r="C16" s="378">
        <f t="shared" si="1"/>
        <v>20000</v>
      </c>
      <c r="D16" s="129"/>
      <c r="E16" s="181">
        <f t="shared" si="0"/>
        <v>20000</v>
      </c>
      <c r="F16" s="129">
        <f>+ตามแผนงานรวม!D16</f>
        <v>20000</v>
      </c>
      <c r="G16" s="129">
        <f>+ตามแผนงานรวม!E17</f>
        <v>0</v>
      </c>
      <c r="H16" s="129">
        <f>+ตามแผนงานรวม!F16</f>
        <v>0</v>
      </c>
      <c r="I16" s="129">
        <f>+ตามแผนงานรวม!G17</f>
        <v>0</v>
      </c>
      <c r="J16" s="129">
        <f>+ตามแผนงานรวม!H17</f>
        <v>0</v>
      </c>
      <c r="K16" s="129">
        <f>+ตามแผนงานรวม!I16</f>
        <v>0</v>
      </c>
      <c r="L16" s="129">
        <f>+ตามแผนงานรวม!J16</f>
        <v>0</v>
      </c>
      <c r="M16" s="129">
        <f>+ตามแผนงานรวม!K16</f>
        <v>0</v>
      </c>
      <c r="N16" s="129">
        <f>+ตามแผนงานรวม!L17</f>
        <v>0</v>
      </c>
      <c r="O16" s="129">
        <f>+ตามแผนงานรวม!M16</f>
        <v>0</v>
      </c>
      <c r="P16" s="129">
        <f>+ตามแผนงานรวม!N17</f>
        <v>0</v>
      </c>
      <c r="Q16" s="182"/>
    </row>
    <row r="17" spans="1:17" s="375" customFormat="1" ht="20.25" customHeight="1">
      <c r="A17" s="183" t="s">
        <v>28</v>
      </c>
      <c r="B17" s="184">
        <f>1360000+67000+710000</f>
        <v>2137000</v>
      </c>
      <c r="C17" s="378">
        <f t="shared" si="1"/>
        <v>1997713.19</v>
      </c>
      <c r="D17" s="132"/>
      <c r="E17" s="185">
        <f t="shared" si="0"/>
        <v>1997713.19</v>
      </c>
      <c r="F17" s="129">
        <f>+ตามแผนงานรวม!D17</f>
        <v>0</v>
      </c>
      <c r="G17" s="129">
        <f>+ตามแผนงานรวม!E18</f>
        <v>0</v>
      </c>
      <c r="H17" s="129">
        <f>+ตามแผนงานรวม!F17</f>
        <v>1324000</v>
      </c>
      <c r="I17" s="129">
        <f>+ตามแผนงานรวม!G18</f>
        <v>0</v>
      </c>
      <c r="J17" s="129">
        <f>+ตามแผนงานรวม!H18</f>
        <v>0</v>
      </c>
      <c r="K17" s="129">
        <f>+ตามแผนงานรวม!I17</f>
        <v>673713.19</v>
      </c>
      <c r="L17" s="129">
        <f>+ตามแผนงานรวม!J17</f>
        <v>0</v>
      </c>
      <c r="M17" s="129">
        <f>+ตามแผนงานรวม!K17</f>
        <v>0</v>
      </c>
      <c r="N17" s="129">
        <f>+ตามแผนงานรวม!L18</f>
        <v>0</v>
      </c>
      <c r="O17" s="129">
        <f>+ตามแผนงานรวม!M17</f>
        <v>0</v>
      </c>
      <c r="P17" s="129">
        <f>+ตามแผนงานรวม!N18</f>
        <v>0</v>
      </c>
      <c r="Q17" s="186"/>
    </row>
    <row r="18" spans="1:17" s="375" customFormat="1" ht="20.25" customHeight="1" thickBot="1">
      <c r="A18" s="163" t="s">
        <v>167</v>
      </c>
      <c r="B18" s="187">
        <f>SUM(B7:B17)</f>
        <v>36000000</v>
      </c>
      <c r="C18" s="187">
        <f>SUM(C7:C17)</f>
        <v>31489700.53</v>
      </c>
      <c r="D18" s="187">
        <f>SUM(D7:D17)</f>
        <v>4533580</v>
      </c>
      <c r="E18" s="187">
        <f>SUM(E7:E17)</f>
        <v>36023280.53</v>
      </c>
      <c r="F18" s="188">
        <f>SUM(F7:F17)</f>
        <v>9919453.639999999</v>
      </c>
      <c r="G18" s="188">
        <f aca="true" t="shared" si="2" ref="G18:Q18">SUM(G7:G17)</f>
        <v>31150</v>
      </c>
      <c r="H18" s="188">
        <f>SUM(H7:H17)</f>
        <v>5060848.7</v>
      </c>
      <c r="I18" s="188">
        <f t="shared" si="2"/>
        <v>219500</v>
      </c>
      <c r="J18" s="188">
        <f t="shared" si="2"/>
        <v>0</v>
      </c>
      <c r="K18" s="188">
        <f>SUM(K7:K17)</f>
        <v>4989064.1899999995</v>
      </c>
      <c r="L18" s="188">
        <f>SUM(L7:L17)</f>
        <v>176125</v>
      </c>
      <c r="M18" s="188">
        <f>SUM(M7:M17)</f>
        <v>57330</v>
      </c>
      <c r="N18" s="188">
        <f t="shared" si="2"/>
        <v>0</v>
      </c>
      <c r="O18" s="188">
        <f>SUM(O7:O17)</f>
        <v>102060</v>
      </c>
      <c r="P18" s="188">
        <f t="shared" si="2"/>
        <v>0</v>
      </c>
      <c r="Q18" s="188">
        <f t="shared" si="2"/>
        <v>10934169</v>
      </c>
    </row>
    <row r="19" spans="1:17" s="375" customFormat="1" ht="20.25" customHeight="1" thickTop="1">
      <c r="A19" s="189" t="s">
        <v>32</v>
      </c>
      <c r="B19" s="190"/>
      <c r="C19" s="181"/>
      <c r="D19" s="181"/>
      <c r="E19" s="181"/>
      <c r="F19" s="191"/>
      <c r="G19" s="191"/>
      <c r="H19" s="18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ht="20.25" customHeight="1">
      <c r="A20" s="153" t="s">
        <v>41</v>
      </c>
      <c r="B20" s="169">
        <v>155000</v>
      </c>
      <c r="C20" s="129">
        <v>205100.88</v>
      </c>
      <c r="D20" s="129"/>
      <c r="E20" s="383">
        <v>205100.88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t="20.25" customHeight="1">
      <c r="A21" s="153" t="s">
        <v>42</v>
      </c>
      <c r="B21" s="169">
        <v>94000</v>
      </c>
      <c r="C21" s="129">
        <v>129334.1</v>
      </c>
      <c r="D21" s="129"/>
      <c r="E21" s="383">
        <v>129334.1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20.25" customHeight="1">
      <c r="A22" s="170" t="s">
        <v>262</v>
      </c>
      <c r="B22" s="161">
        <v>0</v>
      </c>
      <c r="C22" s="129">
        <v>0</v>
      </c>
      <c r="D22" s="129"/>
      <c r="E22" s="383">
        <v>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ht="20.25" customHeight="1">
      <c r="A23" s="170" t="s">
        <v>51</v>
      </c>
      <c r="B23" s="161">
        <v>200000</v>
      </c>
      <c r="C23" s="129">
        <v>117995.26</v>
      </c>
      <c r="D23" s="129"/>
      <c r="E23" s="383">
        <v>117995.26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20.25" customHeight="1">
      <c r="A24" s="170" t="s">
        <v>43</v>
      </c>
      <c r="B24" s="161">
        <v>101000</v>
      </c>
      <c r="C24" s="129">
        <v>8384</v>
      </c>
      <c r="D24" s="129"/>
      <c r="E24" s="383">
        <v>8384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ht="20.25" customHeight="1">
      <c r="A25" s="170" t="s">
        <v>44</v>
      </c>
      <c r="B25" s="161">
        <v>0</v>
      </c>
      <c r="C25" s="129">
        <v>0</v>
      </c>
      <c r="D25" s="129"/>
      <c r="E25" s="383">
        <v>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20.25" customHeight="1">
      <c r="A26" s="170" t="s">
        <v>263</v>
      </c>
      <c r="B26" s="161">
        <v>15450000</v>
      </c>
      <c r="C26" s="129">
        <v>17168424.49</v>
      </c>
      <c r="D26" s="129"/>
      <c r="E26" s="383">
        <v>17168424.49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t="20.25" customHeight="1">
      <c r="A27" s="170" t="s">
        <v>264</v>
      </c>
      <c r="B27" s="161">
        <v>20000000</v>
      </c>
      <c r="C27" s="129">
        <v>17114412</v>
      </c>
      <c r="D27" s="129"/>
      <c r="E27" s="383">
        <v>17114412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29"/>
      <c r="P27" s="129"/>
      <c r="Q27" s="129"/>
    </row>
    <row r="28" spans="1:17" ht="20.25" customHeight="1">
      <c r="A28" s="170" t="s">
        <v>265</v>
      </c>
      <c r="B28" s="161"/>
      <c r="C28" s="129">
        <v>4533580</v>
      </c>
      <c r="D28" s="129"/>
      <c r="E28" s="383">
        <v>4533580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29"/>
      <c r="P28" s="129"/>
      <c r="Q28" s="129"/>
    </row>
    <row r="29" spans="1:17" ht="20.25" customHeight="1" thickBot="1">
      <c r="A29" s="374" t="s">
        <v>38</v>
      </c>
      <c r="B29" s="193">
        <f aca="true" t="shared" si="3" ref="B29:Q29">SUM(B20:B28)</f>
        <v>36000000</v>
      </c>
      <c r="C29" s="379">
        <f t="shared" si="3"/>
        <v>39277230.73</v>
      </c>
      <c r="D29" s="379">
        <f t="shared" si="3"/>
        <v>0</v>
      </c>
      <c r="E29" s="379">
        <f t="shared" si="3"/>
        <v>39277230.73</v>
      </c>
      <c r="F29" s="194">
        <f t="shared" si="3"/>
        <v>0</v>
      </c>
      <c r="G29" s="194">
        <f t="shared" si="3"/>
        <v>0</v>
      </c>
      <c r="H29" s="194">
        <f t="shared" si="3"/>
        <v>0</v>
      </c>
      <c r="I29" s="194">
        <f t="shared" si="3"/>
        <v>0</v>
      </c>
      <c r="J29" s="194">
        <f t="shared" si="3"/>
        <v>0</v>
      </c>
      <c r="K29" s="194">
        <f t="shared" si="3"/>
        <v>0</v>
      </c>
      <c r="L29" s="194">
        <f t="shared" si="3"/>
        <v>0</v>
      </c>
      <c r="M29" s="194">
        <f t="shared" si="3"/>
        <v>0</v>
      </c>
      <c r="N29" s="194">
        <f t="shared" si="3"/>
        <v>0</v>
      </c>
      <c r="O29" s="194">
        <f t="shared" si="3"/>
        <v>0</v>
      </c>
      <c r="P29" s="194">
        <f t="shared" si="3"/>
        <v>0</v>
      </c>
      <c r="Q29" s="194">
        <f t="shared" si="3"/>
        <v>0</v>
      </c>
    </row>
    <row r="30" spans="1:5" ht="20.25" customHeight="1" thickBot="1" thickTop="1">
      <c r="A30" s="195" t="s">
        <v>168</v>
      </c>
      <c r="C30" s="380"/>
      <c r="D30" s="381"/>
      <c r="E30" s="382">
        <f>+E29-E18</f>
        <v>3253950.1999999955</v>
      </c>
    </row>
    <row r="31" ht="27.75" customHeight="1" thickTop="1"/>
    <row r="32" ht="27.75" customHeight="1">
      <c r="A32" s="88" t="s">
        <v>266</v>
      </c>
    </row>
    <row r="35" spans="1:14" s="59" customFormat="1" ht="23.25">
      <c r="A35" s="487" t="s">
        <v>492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</row>
    <row r="36" spans="1:14" s="59" customFormat="1" ht="23.25">
      <c r="A36" s="487" t="s">
        <v>495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</sheetData>
  <sheetProtection/>
  <mergeCells count="5">
    <mergeCell ref="A1:O1"/>
    <mergeCell ref="A2:O2"/>
    <mergeCell ref="A3:O3"/>
    <mergeCell ref="A35:N35"/>
    <mergeCell ref="A36:N3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9">
      <selection activeCell="E38" sqref="E38"/>
    </sheetView>
  </sheetViews>
  <sheetFormatPr defaultColWidth="9.140625" defaultRowHeight="15"/>
  <cols>
    <col min="1" max="1" width="30.28125" style="145" customWidth="1"/>
    <col min="2" max="2" width="13.140625" style="145" customWidth="1"/>
    <col min="3" max="3" width="12.7109375" style="145" customWidth="1"/>
    <col min="4" max="8" width="12.57421875" style="145" customWidth="1"/>
    <col min="9" max="9" width="11.421875" style="145" customWidth="1"/>
    <col min="10" max="10" width="9.7109375" style="145" customWidth="1"/>
    <col min="11" max="13" width="12.57421875" style="145" customWidth="1"/>
    <col min="14" max="14" width="10.421875" style="145" customWidth="1"/>
    <col min="15" max="15" width="10.00390625" style="145" customWidth="1"/>
    <col min="16" max="16" width="9.00390625" style="145" customWidth="1"/>
    <col min="17" max="17" width="12.140625" style="145" bestFit="1" customWidth="1"/>
    <col min="18" max="16384" width="9.00390625" style="145" customWidth="1"/>
  </cols>
  <sheetData>
    <row r="1" spans="1:1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21.75">
      <c r="A2" s="486" t="s">
        <v>171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</row>
    <row r="3" spans="1:15" ht="21.75">
      <c r="A3" s="486" t="str">
        <f>+'ตามแผนงาน 1'!A3:F3</f>
        <v>ตั้งแต่วันที่  1  ตุลาคม 2560  ถึง  30 กันยายน 2561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</row>
    <row r="4" ht="9" customHeight="1"/>
    <row r="5" spans="1:17" s="375" customFormat="1" ht="108.75">
      <c r="A5" s="163" t="s">
        <v>31</v>
      </c>
      <c r="B5" s="163" t="s">
        <v>29</v>
      </c>
      <c r="C5" s="173" t="s">
        <v>260</v>
      </c>
      <c r="D5" s="173" t="s">
        <v>261</v>
      </c>
      <c r="E5" s="163" t="s">
        <v>68</v>
      </c>
      <c r="F5" s="146" t="s">
        <v>151</v>
      </c>
      <c r="G5" s="146" t="s">
        <v>152</v>
      </c>
      <c r="H5" s="147" t="s">
        <v>153</v>
      </c>
      <c r="I5" s="146" t="s">
        <v>174</v>
      </c>
      <c r="J5" s="146" t="s">
        <v>154</v>
      </c>
      <c r="K5" s="146" t="s">
        <v>155</v>
      </c>
      <c r="L5" s="146" t="s">
        <v>156</v>
      </c>
      <c r="M5" s="146" t="s">
        <v>157</v>
      </c>
      <c r="N5" s="146" t="s">
        <v>158</v>
      </c>
      <c r="O5" s="146" t="s">
        <v>159</v>
      </c>
      <c r="P5" s="146" t="s">
        <v>160</v>
      </c>
      <c r="Q5" s="148" t="s">
        <v>49</v>
      </c>
    </row>
    <row r="6" spans="1:17" s="375" customFormat="1" ht="21.75">
      <c r="A6" s="174" t="s">
        <v>33</v>
      </c>
      <c r="B6" s="175"/>
      <c r="C6" s="176"/>
      <c r="D6" s="177"/>
      <c r="E6" s="176">
        <f>SUM(F6:Q6)</f>
        <v>0</v>
      </c>
      <c r="F6" s="178"/>
      <c r="G6" s="178"/>
      <c r="H6" s="177"/>
      <c r="I6" s="178"/>
      <c r="J6" s="178"/>
      <c r="K6" s="178"/>
      <c r="L6" s="178"/>
      <c r="M6" s="178"/>
      <c r="N6" s="178"/>
      <c r="O6" s="178"/>
      <c r="P6" s="178"/>
      <c r="Q6" s="178"/>
    </row>
    <row r="7" spans="1:17" s="375" customFormat="1" ht="27" customHeight="1">
      <c r="A7" s="179" t="s">
        <v>49</v>
      </c>
      <c r="B7" s="373">
        <v>11486905</v>
      </c>
      <c r="C7" s="129">
        <f>SUM(E7)</f>
        <v>10934169</v>
      </c>
      <c r="D7" s="180"/>
      <c r="E7" s="181">
        <f aca="true" t="shared" si="0" ref="E7:E17">SUM(F7:Q7)</f>
        <v>10934169</v>
      </c>
      <c r="F7" s="241"/>
      <c r="G7" s="241"/>
      <c r="H7" s="242"/>
      <c r="I7" s="241"/>
      <c r="J7" s="241"/>
      <c r="K7" s="241"/>
      <c r="L7" s="241"/>
      <c r="M7" s="241"/>
      <c r="N7" s="241"/>
      <c r="O7" s="241"/>
      <c r="P7" s="241"/>
      <c r="Q7" s="396">
        <f>+ตามแผนงานรวม!O18</f>
        <v>10934169</v>
      </c>
    </row>
    <row r="8" spans="1:17" s="375" customFormat="1" ht="21.75">
      <c r="A8" s="153" t="s">
        <v>97</v>
      </c>
      <c r="B8" s="169">
        <v>2311920</v>
      </c>
      <c r="C8" s="378">
        <f>SUM(F8:Q8)</f>
        <v>2254320</v>
      </c>
      <c r="D8" s="129"/>
      <c r="E8" s="181">
        <f t="shared" si="0"/>
        <v>2254320</v>
      </c>
      <c r="F8" s="226">
        <f>+ตามแผนงานรวม!D8</f>
        <v>2254320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43"/>
    </row>
    <row r="9" spans="1:17" s="375" customFormat="1" ht="21.75">
      <c r="A9" s="153" t="s">
        <v>98</v>
      </c>
      <c r="B9" s="169">
        <f>6111063+2042320+1425300</f>
        <v>9578683</v>
      </c>
      <c r="C9" s="378">
        <f aca="true" t="shared" si="1" ref="C9:C17">SUM(F9:Q9)</f>
        <v>7415679</v>
      </c>
      <c r="D9" s="129"/>
      <c r="E9" s="181">
        <f t="shared" si="0"/>
        <v>7415679</v>
      </c>
      <c r="F9" s="129">
        <f>+ตามแผนงานรวม!D9</f>
        <v>5344466</v>
      </c>
      <c r="G9" s="129">
        <f>+ตามแผนงานรวม!E10</f>
        <v>0</v>
      </c>
      <c r="H9" s="129">
        <f>+ตามแผนงานรวม!F9</f>
        <v>1370753</v>
      </c>
      <c r="I9" s="129">
        <f>+ตามแผนงานรวม!G10</f>
        <v>0</v>
      </c>
      <c r="J9" s="129">
        <f>+ตามแผนงานรวม!H10</f>
        <v>0</v>
      </c>
      <c r="K9" s="129">
        <f>+ตามแผนงานรวม!I9</f>
        <v>700460</v>
      </c>
      <c r="L9" s="398">
        <v>0</v>
      </c>
      <c r="M9" s="397">
        <v>0</v>
      </c>
      <c r="N9" s="129">
        <f>+ตามแผนงานรวม!L10</f>
        <v>0</v>
      </c>
      <c r="O9" s="397">
        <v>0</v>
      </c>
      <c r="P9" s="129">
        <f>+ตามแผนงานรวม!N10</f>
        <v>0</v>
      </c>
      <c r="Q9" s="182"/>
    </row>
    <row r="10" spans="1:17" s="375" customFormat="1" ht="21.75">
      <c r="A10" s="170" t="s">
        <v>45</v>
      </c>
      <c r="B10" s="161">
        <f>1025120+204230+159025</f>
        <v>1388375</v>
      </c>
      <c r="C10" s="378">
        <f t="shared" si="1"/>
        <v>1228911</v>
      </c>
      <c r="D10" s="129"/>
      <c r="E10" s="181">
        <f t="shared" si="0"/>
        <v>1228911</v>
      </c>
      <c r="F10" s="129">
        <f>+ตามแผนงานรวม!D10</f>
        <v>925656</v>
      </c>
      <c r="G10" s="397">
        <v>0</v>
      </c>
      <c r="H10" s="129">
        <f>+ตามแผนงานรวม!F10</f>
        <v>168230</v>
      </c>
      <c r="I10" s="129">
        <f>+ตามแผนงานรวม!G11</f>
        <v>0</v>
      </c>
      <c r="J10" s="129">
        <f>+ตามแผนงานรวม!H11</f>
        <v>0</v>
      </c>
      <c r="K10" s="129">
        <f>+ตามแผนงานรวม!I10</f>
        <v>135025</v>
      </c>
      <c r="L10" s="129">
        <f>+ตามแผนงานรวม!J10</f>
        <v>0</v>
      </c>
      <c r="M10" s="129">
        <f>+ตามแผนงานรวม!K10</f>
        <v>0</v>
      </c>
      <c r="N10" s="129">
        <f>+ตามแผนงานรวม!L11</f>
        <v>0</v>
      </c>
      <c r="O10" s="129">
        <f>+ตามแผนงานรวม!M10</f>
        <v>0</v>
      </c>
      <c r="P10" s="129">
        <f>+ตามแผนงานรวม!N11</f>
        <v>0</v>
      </c>
      <c r="Q10" s="182"/>
    </row>
    <row r="11" spans="1:17" s="375" customFormat="1" ht="21.75">
      <c r="A11" s="170" t="s">
        <v>46</v>
      </c>
      <c r="B11" s="161">
        <f>940000+52750+861200+35000+20000+426000+252250+120000+150000</f>
        <v>2857200</v>
      </c>
      <c r="C11" s="378">
        <f t="shared" si="1"/>
        <v>2145593.84</v>
      </c>
      <c r="D11" s="129"/>
      <c r="E11" s="181">
        <f t="shared" si="0"/>
        <v>2145593.84</v>
      </c>
      <c r="F11" s="129">
        <f>+ตามแผนงานรวม!D11</f>
        <v>614432.84</v>
      </c>
      <c r="G11" s="129">
        <f>+ตามแผนงานรวม!E11</f>
        <v>31150</v>
      </c>
      <c r="H11" s="129">
        <f>+ตามแผนงานรวม!F11</f>
        <v>765088</v>
      </c>
      <c r="I11" s="129">
        <v>0</v>
      </c>
      <c r="J11" s="129">
        <f>+ตามแผนงานรวม!H12</f>
        <v>0</v>
      </c>
      <c r="K11" s="129">
        <f>+ตามแผนงานรวม!I11</f>
        <v>399408</v>
      </c>
      <c r="L11" s="129">
        <f>+ตามแผนงานรวม!J11</f>
        <v>176125</v>
      </c>
      <c r="M11" s="129">
        <f>+ตามแผนงานรวม!K11</f>
        <v>57330</v>
      </c>
      <c r="N11" s="129">
        <f>+ตามแผนงานรวม!L12</f>
        <v>0</v>
      </c>
      <c r="O11" s="129">
        <f>+ตามแผนงานรวม!M11</f>
        <v>102060</v>
      </c>
      <c r="P11" s="129">
        <f>+ตามแผนงานรวม!N12</f>
        <v>0</v>
      </c>
      <c r="Q11" s="182"/>
    </row>
    <row r="12" spans="1:17" s="375" customFormat="1" ht="21.75">
      <c r="A12" s="170" t="s">
        <v>47</v>
      </c>
      <c r="B12" s="161">
        <f>565000+1031440+121500+85000+20000</f>
        <v>1822940</v>
      </c>
      <c r="C12" s="378">
        <f t="shared" si="1"/>
        <v>1595540.73</v>
      </c>
      <c r="D12" s="129"/>
      <c r="E12" s="181">
        <f t="shared" si="0"/>
        <v>1595540.73</v>
      </c>
      <c r="F12" s="129">
        <f>+ตามแผนงานรวม!D12</f>
        <v>436347.45</v>
      </c>
      <c r="G12" s="129">
        <f>+ตามแผนงานรวม!E13</f>
        <v>0</v>
      </c>
      <c r="H12" s="129">
        <f>+ตามแผนงานรวม!F12</f>
        <v>1011127.28</v>
      </c>
      <c r="I12" s="129">
        <f>+ตามแผนงานรวม!G12</f>
        <v>101500</v>
      </c>
      <c r="J12" s="129">
        <f>+ตามแผนงานรวม!H13</f>
        <v>0</v>
      </c>
      <c r="K12" s="129">
        <f>+ตามแผนงานรวม!I12</f>
        <v>46566</v>
      </c>
      <c r="L12" s="129">
        <f>+ตามแผนงานรวม!J12</f>
        <v>0</v>
      </c>
      <c r="M12" s="129">
        <f>+ตามแผนงานรวม!K12</f>
        <v>0</v>
      </c>
      <c r="N12" s="129">
        <f>+ตามแผนงานรวม!L13</f>
        <v>0</v>
      </c>
      <c r="O12" s="129">
        <f>+ตามแผนงานรวม!M12</f>
        <v>0</v>
      </c>
      <c r="P12" s="129">
        <f>+ตามแผนงานรวม!N13</f>
        <v>0</v>
      </c>
      <c r="Q12" s="182"/>
    </row>
    <row r="13" spans="1:17" s="375" customFormat="1" ht="21.75">
      <c r="A13" s="170" t="s">
        <v>100</v>
      </c>
      <c r="B13" s="161">
        <f>375000+8000</f>
        <v>383000</v>
      </c>
      <c r="C13" s="378">
        <f t="shared" si="1"/>
        <v>251631.77000000002</v>
      </c>
      <c r="D13" s="129"/>
      <c r="E13" s="181">
        <f t="shared" si="0"/>
        <v>251631.77000000002</v>
      </c>
      <c r="F13" s="129">
        <f>+ตามแผนงานรวม!D13</f>
        <v>246481.35</v>
      </c>
      <c r="G13" s="129">
        <f>+ตามแผนงานรวม!E14</f>
        <v>0</v>
      </c>
      <c r="H13" s="129">
        <f>+ตามแผนงานรวม!F13</f>
        <v>5150.42</v>
      </c>
      <c r="I13" s="397">
        <v>0</v>
      </c>
      <c r="J13" s="129">
        <f>+ตามแผนงานรวม!H14</f>
        <v>0</v>
      </c>
      <c r="K13" s="129">
        <f>+ตามแผนงานรวม!I13</f>
        <v>0</v>
      </c>
      <c r="L13" s="129">
        <f>+ตามแผนงานรวม!J13</f>
        <v>0</v>
      </c>
      <c r="M13" s="129">
        <f>+ตามแผนงานรวม!K13</f>
        <v>0</v>
      </c>
      <c r="N13" s="129">
        <f>+ตามแผนงานรวม!L14</f>
        <v>0</v>
      </c>
      <c r="O13" s="129">
        <f>+ตามแผนงานรวม!M13</f>
        <v>0</v>
      </c>
      <c r="P13" s="129">
        <f>+ตามแผนงานรวม!N14</f>
        <v>0</v>
      </c>
      <c r="Q13" s="182"/>
    </row>
    <row r="14" spans="1:17" s="375" customFormat="1" ht="21.75">
      <c r="A14" s="170" t="s">
        <v>165</v>
      </c>
      <c r="B14" s="161">
        <f>50500+51500+118000+63800</f>
        <v>283800</v>
      </c>
      <c r="C14" s="378">
        <f t="shared" si="1"/>
        <v>210800</v>
      </c>
      <c r="D14" s="129"/>
      <c r="E14" s="181">
        <f t="shared" si="0"/>
        <v>210800</v>
      </c>
      <c r="F14" s="129">
        <f>+ตามแผนงานรวม!D14</f>
        <v>41300</v>
      </c>
      <c r="G14" s="129">
        <f>+ตามแผนงานรวม!E15</f>
        <v>0</v>
      </c>
      <c r="H14" s="129">
        <f>+ตามแผนงานรวม!F14</f>
        <v>51500</v>
      </c>
      <c r="I14" s="129">
        <f>+ตามแผนงานรวม!G14</f>
        <v>118000</v>
      </c>
      <c r="J14" s="129">
        <f>+ตามแผนงานรวม!H15</f>
        <v>0</v>
      </c>
      <c r="K14" s="129">
        <f>+ตามแผนงานรวม!I14</f>
        <v>0</v>
      </c>
      <c r="L14" s="129">
        <f>+ตามแผนงานรวม!J14</f>
        <v>0</v>
      </c>
      <c r="M14" s="129">
        <f>+ตามแผนงานรวม!K14</f>
        <v>0</v>
      </c>
      <c r="N14" s="129">
        <f>+ตามแผนงานรวม!L15</f>
        <v>0</v>
      </c>
      <c r="O14" s="129">
        <f>+ตามแผนงานรวม!M14</f>
        <v>0</v>
      </c>
      <c r="P14" s="129">
        <f>+ตามแผนงานรวม!N15</f>
        <v>0</v>
      </c>
      <c r="Q14" s="182"/>
    </row>
    <row r="15" spans="1:17" s="375" customFormat="1" ht="21.75">
      <c r="A15" s="170" t="s">
        <v>166</v>
      </c>
      <c r="B15" s="161">
        <f>40500+420000+3264677</f>
        <v>3725177</v>
      </c>
      <c r="C15" s="378">
        <f t="shared" si="1"/>
        <v>3435342</v>
      </c>
      <c r="D15" s="129">
        <v>4533580</v>
      </c>
      <c r="E15" s="181">
        <f>SUM(C15:D15)</f>
        <v>7968922</v>
      </c>
      <c r="F15" s="129">
        <f>+ตามแผนงานรวม!D15</f>
        <v>36450</v>
      </c>
      <c r="G15" s="129">
        <f>+ตามแผนงานรวม!E16</f>
        <v>0</v>
      </c>
      <c r="H15" s="129">
        <f>+ตามแผนงานรวม!F15</f>
        <v>365000</v>
      </c>
      <c r="I15" s="129">
        <f>+ตามแผนงานรวม!G16</f>
        <v>0</v>
      </c>
      <c r="J15" s="129">
        <f>+ตามแผนงานรวม!H16</f>
        <v>0</v>
      </c>
      <c r="K15" s="129">
        <f>+ตามแผนงานรวม!I15</f>
        <v>3033892</v>
      </c>
      <c r="L15" s="129">
        <f>+ตามแผนงานรวม!J15</f>
        <v>0</v>
      </c>
      <c r="M15" s="129">
        <f>+ตามแผนงานรวม!K15</f>
        <v>0</v>
      </c>
      <c r="N15" s="129">
        <f>+ตามแผนงานรวม!L16</f>
        <v>0</v>
      </c>
      <c r="O15" s="129">
        <f>+ตามแผนงานรวม!M15</f>
        <v>0</v>
      </c>
      <c r="P15" s="129">
        <f>+ตามแผนงานรวม!N16</f>
        <v>0</v>
      </c>
      <c r="Q15" s="182"/>
    </row>
    <row r="16" spans="1:17" s="375" customFormat="1" ht="21.75">
      <c r="A16" s="170" t="s">
        <v>48</v>
      </c>
      <c r="B16" s="161">
        <v>25000</v>
      </c>
      <c r="C16" s="378">
        <f t="shared" si="1"/>
        <v>20000</v>
      </c>
      <c r="D16" s="129"/>
      <c r="E16" s="181">
        <f t="shared" si="0"/>
        <v>20000</v>
      </c>
      <c r="F16" s="129">
        <f>+ตามแผนงานรวม!D16</f>
        <v>20000</v>
      </c>
      <c r="G16" s="129">
        <f>+ตามแผนงานรวม!E17</f>
        <v>0</v>
      </c>
      <c r="H16" s="129">
        <f>+ตามแผนงานรวม!F16</f>
        <v>0</v>
      </c>
      <c r="I16" s="129">
        <f>+ตามแผนงานรวม!G17</f>
        <v>0</v>
      </c>
      <c r="J16" s="129">
        <f>+ตามแผนงานรวม!H17</f>
        <v>0</v>
      </c>
      <c r="K16" s="129">
        <f>+ตามแผนงานรวม!I16</f>
        <v>0</v>
      </c>
      <c r="L16" s="129">
        <f>+ตามแผนงานรวม!J16</f>
        <v>0</v>
      </c>
      <c r="M16" s="129">
        <f>+ตามแผนงานรวม!K16</f>
        <v>0</v>
      </c>
      <c r="N16" s="129">
        <f>+ตามแผนงานรวม!L17</f>
        <v>0</v>
      </c>
      <c r="O16" s="129">
        <f>+ตามแผนงานรวม!M16</f>
        <v>0</v>
      </c>
      <c r="P16" s="129">
        <f>+ตามแผนงานรวม!N17</f>
        <v>0</v>
      </c>
      <c r="Q16" s="182"/>
    </row>
    <row r="17" spans="1:17" s="375" customFormat="1" ht="21.75">
      <c r="A17" s="183" t="s">
        <v>28</v>
      </c>
      <c r="B17" s="184">
        <f>1360000+67000+710000</f>
        <v>2137000</v>
      </c>
      <c r="C17" s="378">
        <f t="shared" si="1"/>
        <v>1997713.19</v>
      </c>
      <c r="D17" s="132"/>
      <c r="E17" s="185">
        <f t="shared" si="0"/>
        <v>1997713.19</v>
      </c>
      <c r="F17" s="129">
        <f>+ตามแผนงานรวม!D17</f>
        <v>0</v>
      </c>
      <c r="G17" s="129">
        <f>+ตามแผนงานรวม!E18</f>
        <v>0</v>
      </c>
      <c r="H17" s="129">
        <f>+ตามแผนงานรวม!F17</f>
        <v>1324000</v>
      </c>
      <c r="I17" s="129">
        <f>+ตามแผนงานรวม!G18</f>
        <v>0</v>
      </c>
      <c r="J17" s="129">
        <f>+ตามแผนงานรวม!H18</f>
        <v>0</v>
      </c>
      <c r="K17" s="129">
        <f>+ตามแผนงานรวม!I17</f>
        <v>673713.19</v>
      </c>
      <c r="L17" s="129">
        <f>+ตามแผนงานรวม!J17</f>
        <v>0</v>
      </c>
      <c r="M17" s="129">
        <f>+ตามแผนงานรวม!K17</f>
        <v>0</v>
      </c>
      <c r="N17" s="129">
        <f>+ตามแผนงานรวม!L18</f>
        <v>0</v>
      </c>
      <c r="O17" s="129">
        <f>+ตามแผนงานรวม!M17</f>
        <v>0</v>
      </c>
      <c r="P17" s="129">
        <f>+ตามแผนงานรวม!N18</f>
        <v>0</v>
      </c>
      <c r="Q17" s="186"/>
    </row>
    <row r="18" spans="1:17" s="375" customFormat="1" ht="25.5" customHeight="1" thickBot="1">
      <c r="A18" s="163" t="s">
        <v>167</v>
      </c>
      <c r="B18" s="187">
        <f>SUM(B7:B17)</f>
        <v>36000000</v>
      </c>
      <c r="C18" s="187">
        <f>SUM(C7:C17)</f>
        <v>31489700.53</v>
      </c>
      <c r="D18" s="187">
        <f>SUM(D7:D17)</f>
        <v>4533580</v>
      </c>
      <c r="E18" s="187">
        <f>SUM(E7:E17)</f>
        <v>36023280.53</v>
      </c>
      <c r="F18" s="188">
        <f>SUM(F7:F17)</f>
        <v>9919453.639999999</v>
      </c>
      <c r="G18" s="188">
        <f aca="true" t="shared" si="2" ref="G18:Q18">SUM(G7:G17)</f>
        <v>31150</v>
      </c>
      <c r="H18" s="188">
        <f>SUM(H7:H17)</f>
        <v>5060848.7</v>
      </c>
      <c r="I18" s="188">
        <f t="shared" si="2"/>
        <v>219500</v>
      </c>
      <c r="J18" s="188">
        <f t="shared" si="2"/>
        <v>0</v>
      </c>
      <c r="K18" s="188">
        <f>SUM(K7:K17)</f>
        <v>4989064.1899999995</v>
      </c>
      <c r="L18" s="188">
        <f>SUM(L7:L17)</f>
        <v>176125</v>
      </c>
      <c r="M18" s="188">
        <f>SUM(M7:M17)</f>
        <v>57330</v>
      </c>
      <c r="N18" s="188">
        <f t="shared" si="2"/>
        <v>0</v>
      </c>
      <c r="O18" s="188">
        <f>SUM(O7:O17)</f>
        <v>102060</v>
      </c>
      <c r="P18" s="188">
        <f t="shared" si="2"/>
        <v>0</v>
      </c>
      <c r="Q18" s="188">
        <f t="shared" si="2"/>
        <v>10934169</v>
      </c>
    </row>
    <row r="19" spans="1:17" s="375" customFormat="1" ht="22.5" thickTop="1">
      <c r="A19" s="189" t="s">
        <v>32</v>
      </c>
      <c r="B19" s="190"/>
      <c r="C19" s="181"/>
      <c r="D19" s="181"/>
      <c r="E19" s="181"/>
      <c r="F19" s="191"/>
      <c r="G19" s="191"/>
      <c r="H19" s="18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ht="21.75">
      <c r="A20" s="153" t="s">
        <v>41</v>
      </c>
      <c r="B20" s="169">
        <v>155000</v>
      </c>
      <c r="C20" s="129">
        <v>205100.88</v>
      </c>
      <c r="D20" s="129"/>
      <c r="E20" s="383">
        <v>205100.88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ht="21.75">
      <c r="A21" s="153" t="s">
        <v>42</v>
      </c>
      <c r="B21" s="169">
        <v>94000</v>
      </c>
      <c r="C21" s="129">
        <v>129334.1</v>
      </c>
      <c r="D21" s="129"/>
      <c r="E21" s="383">
        <v>129334.1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ht="21.75">
      <c r="A22" s="170" t="s">
        <v>262</v>
      </c>
      <c r="B22" s="161">
        <v>0</v>
      </c>
      <c r="C22" s="129">
        <v>0</v>
      </c>
      <c r="D22" s="129"/>
      <c r="E22" s="383">
        <v>0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ht="21.75">
      <c r="A23" s="170" t="s">
        <v>51</v>
      </c>
      <c r="B23" s="161">
        <v>200000</v>
      </c>
      <c r="C23" s="129">
        <v>117995.26</v>
      </c>
      <c r="D23" s="129"/>
      <c r="E23" s="383">
        <v>117995.26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ht="21.75">
      <c r="A24" s="170" t="s">
        <v>43</v>
      </c>
      <c r="B24" s="161">
        <v>101000</v>
      </c>
      <c r="C24" s="129">
        <v>8384</v>
      </c>
      <c r="D24" s="129"/>
      <c r="E24" s="383">
        <v>8384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ht="21.75">
      <c r="A25" s="170" t="s">
        <v>44</v>
      </c>
      <c r="B25" s="161">
        <v>0</v>
      </c>
      <c r="C25" s="129">
        <v>0</v>
      </c>
      <c r="D25" s="129"/>
      <c r="E25" s="383">
        <v>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ht="21.75">
      <c r="A26" s="170" t="s">
        <v>263</v>
      </c>
      <c r="B26" s="161">
        <v>15450000</v>
      </c>
      <c r="C26" s="129">
        <v>17168424.49</v>
      </c>
      <c r="D26" s="129"/>
      <c r="E26" s="383">
        <v>17168424.49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ht="21.75">
      <c r="A27" s="170" t="s">
        <v>264</v>
      </c>
      <c r="B27" s="161">
        <v>20000000</v>
      </c>
      <c r="C27" s="129">
        <v>17114412</v>
      </c>
      <c r="D27" s="129"/>
      <c r="E27" s="383">
        <v>17114412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29"/>
      <c r="P27" s="129"/>
      <c r="Q27" s="129"/>
    </row>
    <row r="28" spans="1:17" ht="21.75">
      <c r="A28" s="170" t="s">
        <v>265</v>
      </c>
      <c r="B28" s="161"/>
      <c r="C28" s="129">
        <v>4533580</v>
      </c>
      <c r="D28" s="129"/>
      <c r="E28" s="383">
        <v>4533580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29"/>
      <c r="P28" s="129"/>
      <c r="Q28" s="129"/>
    </row>
    <row r="29" spans="1:17" ht="24" thickBot="1">
      <c r="A29" s="374" t="s">
        <v>38</v>
      </c>
      <c r="B29" s="193">
        <f aca="true" t="shared" si="3" ref="B29:Q29">SUM(B20:B28)</f>
        <v>36000000</v>
      </c>
      <c r="C29" s="379">
        <f t="shared" si="3"/>
        <v>39277230.73</v>
      </c>
      <c r="D29" s="379">
        <f t="shared" si="3"/>
        <v>0</v>
      </c>
      <c r="E29" s="379">
        <f t="shared" si="3"/>
        <v>39277230.73</v>
      </c>
      <c r="F29" s="194">
        <f t="shared" si="3"/>
        <v>0</v>
      </c>
      <c r="G29" s="194">
        <f t="shared" si="3"/>
        <v>0</v>
      </c>
      <c r="H29" s="194">
        <f t="shared" si="3"/>
        <v>0</v>
      </c>
      <c r="I29" s="194">
        <f t="shared" si="3"/>
        <v>0</v>
      </c>
      <c r="J29" s="194">
        <f t="shared" si="3"/>
        <v>0</v>
      </c>
      <c r="K29" s="194">
        <f t="shared" si="3"/>
        <v>0</v>
      </c>
      <c r="L29" s="194">
        <f t="shared" si="3"/>
        <v>0</v>
      </c>
      <c r="M29" s="194">
        <f t="shared" si="3"/>
        <v>0</v>
      </c>
      <c r="N29" s="194">
        <f t="shared" si="3"/>
        <v>0</v>
      </c>
      <c r="O29" s="194">
        <f t="shared" si="3"/>
        <v>0</v>
      </c>
      <c r="P29" s="194">
        <f t="shared" si="3"/>
        <v>0</v>
      </c>
      <c r="Q29" s="194">
        <f t="shared" si="3"/>
        <v>0</v>
      </c>
    </row>
    <row r="30" spans="1:5" ht="23.25" thickBot="1" thickTop="1">
      <c r="A30" s="195" t="s">
        <v>168</v>
      </c>
      <c r="C30" s="380"/>
      <c r="D30" s="381"/>
      <c r="E30" s="382">
        <f>+E29-E18</f>
        <v>3253950.1999999955</v>
      </c>
    </row>
    <row r="31" ht="8.25" customHeight="1" thickTop="1"/>
    <row r="32" ht="27.75" customHeight="1">
      <c r="A32" s="88" t="s">
        <v>266</v>
      </c>
    </row>
    <row r="33" ht="11.25" customHeight="1"/>
    <row r="34" ht="18" customHeight="1"/>
    <row r="35" spans="1:14" s="59" customFormat="1" ht="23.25">
      <c r="A35" s="487" t="s">
        <v>497</v>
      </c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</row>
    <row r="36" spans="1:14" s="59" customFormat="1" ht="23.25">
      <c r="A36" s="487" t="s">
        <v>496</v>
      </c>
      <c r="B36" s="487"/>
      <c r="C36" s="487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</row>
  </sheetData>
  <sheetProtection/>
  <mergeCells count="5">
    <mergeCell ref="A1:O1"/>
    <mergeCell ref="A2:O2"/>
    <mergeCell ref="A3:O3"/>
    <mergeCell ref="A35:N35"/>
    <mergeCell ref="A36:N3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H21" sqref="H21"/>
    </sheetView>
  </sheetViews>
  <sheetFormatPr defaultColWidth="9.140625" defaultRowHeight="15"/>
  <cols>
    <col min="1" max="1" width="3.28125" style="197" customWidth="1"/>
    <col min="2" max="2" width="3.28125" style="217" customWidth="1"/>
    <col min="3" max="3" width="46.57421875" style="200" customWidth="1"/>
    <col min="4" max="4" width="12.421875" style="197" bestFit="1" customWidth="1"/>
    <col min="5" max="5" width="14.421875" style="202" bestFit="1" customWidth="1"/>
    <col min="6" max="16384" width="9.00390625" style="197" customWidth="1"/>
  </cols>
  <sheetData>
    <row r="1" spans="1:5" ht="21.75">
      <c r="A1" s="489" t="str">
        <f>+งบแสดงฐานะการเงิน!A1</f>
        <v>องค์การบริหารส่วนตำบลหันห้วยทราย</v>
      </c>
      <c r="B1" s="489"/>
      <c r="C1" s="489"/>
      <c r="D1" s="489"/>
      <c r="E1" s="489"/>
    </row>
    <row r="2" spans="1:5" ht="21.75">
      <c r="A2" s="489" t="s">
        <v>475</v>
      </c>
      <c r="B2" s="489"/>
      <c r="C2" s="489"/>
      <c r="D2" s="489"/>
      <c r="E2" s="489"/>
    </row>
    <row r="3" spans="1:5" ht="21.75">
      <c r="A3" s="198"/>
      <c r="B3" s="199"/>
      <c r="D3" s="196" t="s">
        <v>30</v>
      </c>
      <c r="E3" s="196" t="s">
        <v>267</v>
      </c>
    </row>
    <row r="4" spans="1:4" ht="21.75">
      <c r="A4" s="198" t="s">
        <v>268</v>
      </c>
      <c r="B4" s="199"/>
      <c r="D4" s="201"/>
    </row>
    <row r="5" spans="1:6" ht="21.75">
      <c r="A5" s="203"/>
      <c r="B5" s="204" t="s">
        <v>269</v>
      </c>
      <c r="D5" s="205"/>
      <c r="F5" s="206"/>
    </row>
    <row r="6" spans="1:5" ht="21.75">
      <c r="A6" s="203"/>
      <c r="B6" s="207">
        <v>1</v>
      </c>
      <c r="C6" s="200" t="s">
        <v>480</v>
      </c>
      <c r="D6" s="208">
        <v>15800</v>
      </c>
      <c r="E6" s="390" t="s">
        <v>264</v>
      </c>
    </row>
    <row r="7" spans="1:5" ht="21.75">
      <c r="A7" s="203"/>
      <c r="B7" s="207">
        <v>2</v>
      </c>
      <c r="C7" s="200" t="s">
        <v>483</v>
      </c>
      <c r="D7" s="209">
        <v>18000</v>
      </c>
      <c r="E7" s="390" t="s">
        <v>264</v>
      </c>
    </row>
    <row r="8" spans="1:5" ht="21.75">
      <c r="A8" s="203"/>
      <c r="B8" s="207">
        <v>3</v>
      </c>
      <c r="C8" s="200" t="s">
        <v>484</v>
      </c>
      <c r="D8" s="209">
        <v>5500</v>
      </c>
      <c r="E8" s="390" t="s">
        <v>264</v>
      </c>
    </row>
    <row r="9" spans="1:5" ht="21.75">
      <c r="A9" s="203"/>
      <c r="B9" s="207">
        <v>4</v>
      </c>
      <c r="C9" s="200" t="s">
        <v>485</v>
      </c>
      <c r="D9" s="209">
        <v>12000</v>
      </c>
      <c r="E9" s="390" t="s">
        <v>264</v>
      </c>
    </row>
    <row r="10" spans="1:4" ht="21.75">
      <c r="A10" s="203"/>
      <c r="B10" s="207"/>
      <c r="C10" s="210" t="s">
        <v>68</v>
      </c>
      <c r="D10" s="393">
        <f>SUM(D6:D9)</f>
        <v>51300</v>
      </c>
    </row>
    <row r="11" spans="1:4" ht="21.75">
      <c r="A11" s="213"/>
      <c r="B11" s="204" t="s">
        <v>270</v>
      </c>
      <c r="C11" s="214"/>
      <c r="D11" s="216"/>
    </row>
    <row r="12" spans="1:5" ht="21.75">
      <c r="A12" s="213"/>
      <c r="B12" s="207">
        <v>1</v>
      </c>
      <c r="C12" s="214" t="s">
        <v>481</v>
      </c>
      <c r="D12" s="211">
        <v>16000</v>
      </c>
      <c r="E12" s="390" t="s">
        <v>264</v>
      </c>
    </row>
    <row r="13" spans="1:5" ht="21.75">
      <c r="A13" s="213"/>
      <c r="B13" s="207">
        <v>2</v>
      </c>
      <c r="C13" s="214" t="s">
        <v>482</v>
      </c>
      <c r="D13" s="211">
        <v>16000</v>
      </c>
      <c r="E13" s="390" t="s">
        <v>264</v>
      </c>
    </row>
    <row r="14" spans="1:4" ht="21.75">
      <c r="A14" s="213"/>
      <c r="B14" s="212"/>
      <c r="C14" s="215" t="s">
        <v>68</v>
      </c>
      <c r="D14" s="394">
        <f>SUM(D12:D13)</f>
        <v>32000</v>
      </c>
    </row>
    <row r="15" spans="1:4" ht="21.75">
      <c r="A15" s="213"/>
      <c r="B15" s="204" t="s">
        <v>478</v>
      </c>
      <c r="C15" s="214"/>
      <c r="D15" s="216"/>
    </row>
    <row r="16" spans="1:5" ht="21.75">
      <c r="A16" s="213"/>
      <c r="B16" s="207">
        <v>1</v>
      </c>
      <c r="C16" s="214" t="s">
        <v>479</v>
      </c>
      <c r="D16" s="211">
        <v>9500</v>
      </c>
      <c r="E16" s="390" t="s">
        <v>264</v>
      </c>
    </row>
    <row r="17" spans="1:4" ht="21.75">
      <c r="A17" s="213"/>
      <c r="B17" s="212"/>
      <c r="C17" s="215" t="s">
        <v>68</v>
      </c>
      <c r="D17" s="394">
        <f>SUM(D16)</f>
        <v>9500</v>
      </c>
    </row>
    <row r="18" spans="1:4" ht="21.75">
      <c r="A18" s="213"/>
      <c r="B18" s="204" t="s">
        <v>486</v>
      </c>
      <c r="C18" s="214"/>
      <c r="D18" s="216"/>
    </row>
    <row r="19" spans="1:5" ht="21.75">
      <c r="A19" s="213"/>
      <c r="B19" s="207">
        <v>1</v>
      </c>
      <c r="C19" s="214" t="s">
        <v>487</v>
      </c>
      <c r="D19" s="211">
        <v>118000</v>
      </c>
      <c r="E19" s="390" t="s">
        <v>264</v>
      </c>
    </row>
    <row r="20" spans="1:4" ht="21.75">
      <c r="A20" s="213"/>
      <c r="B20" s="212"/>
      <c r="C20" s="215" t="s">
        <v>68</v>
      </c>
      <c r="D20" s="394">
        <f>SUM(D19)</f>
        <v>118000</v>
      </c>
    </row>
    <row r="21" spans="1:4" ht="22.5" thickBot="1">
      <c r="A21" s="213"/>
      <c r="B21" s="212"/>
      <c r="C21" s="218" t="s">
        <v>73</v>
      </c>
      <c r="D21" s="395">
        <f>D10+D14+D17+D20</f>
        <v>210800</v>
      </c>
    </row>
    <row r="22" spans="1:4" ht="22.5" thickTop="1">
      <c r="A22" s="213"/>
      <c r="B22" s="212"/>
      <c r="C22" s="214"/>
      <c r="D22" s="211"/>
    </row>
    <row r="23" spans="1:4" ht="21.75">
      <c r="A23" s="213"/>
      <c r="B23" s="204"/>
      <c r="C23" s="214"/>
      <c r="D23" s="21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H5" sqref="H5:K26"/>
    </sheetView>
  </sheetViews>
  <sheetFormatPr defaultColWidth="9.140625" defaultRowHeight="15"/>
  <cols>
    <col min="1" max="2" width="3.28125" style="145" customWidth="1"/>
    <col min="3" max="3" width="43.8515625" style="145" customWidth="1"/>
    <col min="4" max="4" width="14.8515625" style="195" customWidth="1"/>
    <col min="5" max="5" width="14.421875" style="195" bestFit="1" customWidth="1"/>
    <col min="6" max="7" width="9.00390625" style="145" customWidth="1"/>
    <col min="8" max="8" width="9.8515625" style="145" bestFit="1" customWidth="1"/>
    <col min="9" max="16384" width="9.00390625" style="145" customWidth="1"/>
  </cols>
  <sheetData>
    <row r="1" spans="1:5" ht="21.7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</row>
    <row r="2" spans="1:5" s="197" customFormat="1" ht="21.75">
      <c r="A2" s="489" t="s">
        <v>475</v>
      </c>
      <c r="B2" s="489"/>
      <c r="C2" s="489"/>
      <c r="D2" s="489"/>
      <c r="E2" s="489"/>
    </row>
    <row r="3" spans="1:5" s="197" customFormat="1" ht="21.75">
      <c r="A3" s="198"/>
      <c r="B3" s="199"/>
      <c r="C3" s="200"/>
      <c r="D3" s="196" t="s">
        <v>271</v>
      </c>
      <c r="E3" s="196" t="s">
        <v>267</v>
      </c>
    </row>
    <row r="4" spans="1:5" s="197" customFormat="1" ht="21.75">
      <c r="A4" s="198" t="s">
        <v>272</v>
      </c>
      <c r="B4" s="199"/>
      <c r="C4" s="200"/>
      <c r="D4" s="386"/>
      <c r="E4" s="390"/>
    </row>
    <row r="5" spans="1:8" s="197" customFormat="1" ht="21.75">
      <c r="A5" s="203"/>
      <c r="B5" s="207">
        <v>1</v>
      </c>
      <c r="C5" s="200" t="s">
        <v>459</v>
      </c>
      <c r="D5" s="387">
        <v>36450</v>
      </c>
      <c r="E5" s="390" t="s">
        <v>264</v>
      </c>
      <c r="H5" s="388"/>
    </row>
    <row r="6" spans="1:10" s="197" customFormat="1" ht="21.75">
      <c r="A6" s="203"/>
      <c r="B6" s="207">
        <v>2</v>
      </c>
      <c r="C6" s="200" t="s">
        <v>460</v>
      </c>
      <c r="D6" s="388">
        <v>148000</v>
      </c>
      <c r="E6" s="390" t="s">
        <v>264</v>
      </c>
      <c r="H6" s="388"/>
      <c r="J6" s="388"/>
    </row>
    <row r="7" spans="1:10" s="197" customFormat="1" ht="21.75" customHeight="1">
      <c r="A7" s="203"/>
      <c r="B7" s="207">
        <v>3</v>
      </c>
      <c r="C7" s="200" t="s">
        <v>461</v>
      </c>
      <c r="D7" s="388">
        <v>39000</v>
      </c>
      <c r="E7" s="390" t="s">
        <v>264</v>
      </c>
      <c r="H7" s="388"/>
      <c r="J7" s="388"/>
    </row>
    <row r="8" spans="1:10" s="197" customFormat="1" ht="21.75">
      <c r="A8" s="203"/>
      <c r="B8" s="207">
        <v>4</v>
      </c>
      <c r="C8" s="200" t="s">
        <v>462</v>
      </c>
      <c r="D8" s="388">
        <v>178000</v>
      </c>
      <c r="E8" s="390" t="s">
        <v>264</v>
      </c>
      <c r="H8" s="388"/>
      <c r="J8" s="388"/>
    </row>
    <row r="9" spans="1:10" s="197" customFormat="1" ht="21.75">
      <c r="A9" s="203"/>
      <c r="B9" s="207">
        <v>5</v>
      </c>
      <c r="C9" s="200" t="s">
        <v>463</v>
      </c>
      <c r="D9" s="388">
        <v>363000</v>
      </c>
      <c r="E9" s="390" t="s">
        <v>264</v>
      </c>
      <c r="H9" s="388"/>
      <c r="J9" s="391"/>
    </row>
    <row r="10" spans="1:8" s="197" customFormat="1" ht="21.75">
      <c r="A10" s="203"/>
      <c r="B10" s="207">
        <v>6</v>
      </c>
      <c r="C10" s="200" t="s">
        <v>464</v>
      </c>
      <c r="D10" s="388">
        <v>32500</v>
      </c>
      <c r="E10" s="390" t="s">
        <v>264</v>
      </c>
      <c r="H10" s="388"/>
    </row>
    <row r="11" spans="1:8" s="197" customFormat="1" ht="21.75">
      <c r="A11" s="203"/>
      <c r="B11" s="207">
        <v>7</v>
      </c>
      <c r="C11" s="200" t="s">
        <v>465</v>
      </c>
      <c r="D11" s="388">
        <v>199000</v>
      </c>
      <c r="E11" s="390" t="s">
        <v>264</v>
      </c>
      <c r="H11" s="388"/>
    </row>
    <row r="12" spans="1:8" s="197" customFormat="1" ht="21.75">
      <c r="A12" s="203"/>
      <c r="B12" s="207">
        <v>8</v>
      </c>
      <c r="C12" s="200" t="s">
        <v>466</v>
      </c>
      <c r="D12" s="388">
        <v>198000</v>
      </c>
      <c r="E12" s="390" t="s">
        <v>264</v>
      </c>
      <c r="H12" s="388"/>
    </row>
    <row r="13" spans="1:8" s="197" customFormat="1" ht="21.75">
      <c r="A13" s="203"/>
      <c r="B13" s="207">
        <v>9</v>
      </c>
      <c r="C13" s="200" t="s">
        <v>467</v>
      </c>
      <c r="D13" s="388">
        <v>99000</v>
      </c>
      <c r="E13" s="390" t="s">
        <v>264</v>
      </c>
      <c r="H13" s="388"/>
    </row>
    <row r="14" spans="1:8" s="197" customFormat="1" ht="21.75">
      <c r="A14" s="203"/>
      <c r="B14" s="207">
        <v>10</v>
      </c>
      <c r="C14" s="200" t="s">
        <v>468</v>
      </c>
      <c r="D14" s="388">
        <v>95000</v>
      </c>
      <c r="E14" s="390" t="s">
        <v>264</v>
      </c>
      <c r="H14" s="388"/>
    </row>
    <row r="15" spans="1:8" s="197" customFormat="1" ht="21.75">
      <c r="A15" s="203"/>
      <c r="B15" s="207">
        <v>11</v>
      </c>
      <c r="C15" s="200" t="s">
        <v>464</v>
      </c>
      <c r="D15" s="388">
        <v>228000</v>
      </c>
      <c r="E15" s="390" t="s">
        <v>264</v>
      </c>
      <c r="H15" s="388"/>
    </row>
    <row r="16" spans="1:8" s="197" customFormat="1" ht="21.75" customHeight="1">
      <c r="A16" s="203"/>
      <c r="B16" s="207">
        <v>12</v>
      </c>
      <c r="C16" s="385" t="s">
        <v>469</v>
      </c>
      <c r="D16" s="388">
        <v>445000</v>
      </c>
      <c r="E16" s="390" t="s">
        <v>264</v>
      </c>
      <c r="H16" s="388"/>
    </row>
    <row r="17" spans="1:8" s="197" customFormat="1" ht="21.75">
      <c r="A17" s="203"/>
      <c r="B17" s="207">
        <v>13</v>
      </c>
      <c r="C17" s="200" t="s">
        <v>470</v>
      </c>
      <c r="D17" s="388">
        <v>166000</v>
      </c>
      <c r="E17" s="390" t="s">
        <v>264</v>
      </c>
      <c r="H17" s="388"/>
    </row>
    <row r="18" spans="1:8" s="197" customFormat="1" ht="21.75">
      <c r="A18" s="203"/>
      <c r="B18" s="207">
        <v>14</v>
      </c>
      <c r="C18" s="200" t="s">
        <v>471</v>
      </c>
      <c r="D18" s="388">
        <v>33315</v>
      </c>
      <c r="E18" s="390" t="s">
        <v>264</v>
      </c>
      <c r="H18" s="388"/>
    </row>
    <row r="19" spans="1:8" s="197" customFormat="1" ht="21.75">
      <c r="A19" s="203"/>
      <c r="B19" s="207">
        <v>15</v>
      </c>
      <c r="C19" s="200" t="s">
        <v>472</v>
      </c>
      <c r="D19" s="388">
        <v>16177</v>
      </c>
      <c r="E19" s="390" t="s">
        <v>264</v>
      </c>
      <c r="H19" s="388"/>
    </row>
    <row r="20" spans="1:8" s="197" customFormat="1" ht="21.75">
      <c r="A20" s="203"/>
      <c r="B20" s="207">
        <v>16</v>
      </c>
      <c r="C20" s="200" t="s">
        <v>473</v>
      </c>
      <c r="D20" s="388">
        <v>140000</v>
      </c>
      <c r="E20" s="390" t="s">
        <v>264</v>
      </c>
      <c r="H20" s="388"/>
    </row>
    <row r="21" spans="1:8" s="197" customFormat="1" ht="21.75">
      <c r="A21" s="203"/>
      <c r="B21" s="207">
        <v>17</v>
      </c>
      <c r="C21" s="200" t="s">
        <v>394</v>
      </c>
      <c r="D21" s="388">
        <v>199000</v>
      </c>
      <c r="E21" s="390" t="s">
        <v>264</v>
      </c>
      <c r="H21" s="388"/>
    </row>
    <row r="22" spans="1:8" s="197" customFormat="1" ht="22.5" customHeight="1">
      <c r="A22" s="203"/>
      <c r="B22" s="207">
        <v>18</v>
      </c>
      <c r="C22" s="200" t="s">
        <v>474</v>
      </c>
      <c r="D22" s="388">
        <v>100000</v>
      </c>
      <c r="E22" s="390" t="s">
        <v>264</v>
      </c>
      <c r="H22" s="388"/>
    </row>
    <row r="23" spans="1:8" s="197" customFormat="1" ht="21.75">
      <c r="A23" s="203"/>
      <c r="B23" s="207">
        <v>19</v>
      </c>
      <c r="C23" s="200" t="s">
        <v>476</v>
      </c>
      <c r="D23" s="388">
        <v>99000</v>
      </c>
      <c r="E23" s="390" t="s">
        <v>264</v>
      </c>
      <c r="H23" s="388"/>
    </row>
    <row r="24" spans="1:8" s="197" customFormat="1" ht="21.75">
      <c r="A24" s="203"/>
      <c r="B24" s="207">
        <v>20</v>
      </c>
      <c r="C24" s="200" t="s">
        <v>394</v>
      </c>
      <c r="D24" s="388">
        <v>277000</v>
      </c>
      <c r="E24" s="390" t="s">
        <v>264</v>
      </c>
      <c r="H24" s="391"/>
    </row>
    <row r="25" spans="1:5" s="197" customFormat="1" ht="21.75">
      <c r="A25" s="203"/>
      <c r="B25" s="207">
        <v>21</v>
      </c>
      <c r="C25" s="200" t="s">
        <v>395</v>
      </c>
      <c r="D25" s="388">
        <v>98000</v>
      </c>
      <c r="E25" s="390" t="s">
        <v>264</v>
      </c>
    </row>
    <row r="26" spans="1:5" s="197" customFormat="1" ht="21.75">
      <c r="A26" s="203"/>
      <c r="B26" s="207">
        <v>22</v>
      </c>
      <c r="C26" s="200" t="s">
        <v>477</v>
      </c>
      <c r="D26" s="388">
        <v>245900</v>
      </c>
      <c r="E26" s="390"/>
    </row>
    <row r="27" spans="1:5" s="197" customFormat="1" ht="21.75">
      <c r="A27" s="213"/>
      <c r="B27" s="207"/>
      <c r="C27" s="218" t="s">
        <v>73</v>
      </c>
      <c r="D27" s="392">
        <f>SUM(D5:D26)</f>
        <v>3435342</v>
      </c>
      <c r="E27" s="390"/>
    </row>
    <row r="28" spans="1:5" s="197" customFormat="1" ht="21.75">
      <c r="A28" s="213"/>
      <c r="B28" s="207"/>
      <c r="D28" s="389"/>
      <c r="E28" s="390"/>
    </row>
    <row r="29" spans="1:5" s="197" customFormat="1" ht="21.75">
      <c r="A29" s="219"/>
      <c r="B29" s="207"/>
      <c r="C29" s="214"/>
      <c r="D29" s="389"/>
      <c r="E29" s="390"/>
    </row>
    <row r="30" spans="1:5" s="197" customFormat="1" ht="21.75">
      <c r="A30" s="219"/>
      <c r="B30" s="207"/>
      <c r="C30" s="220"/>
      <c r="D30" s="389"/>
      <c r="E30" s="390"/>
    </row>
    <row r="31" spans="2:5" s="197" customFormat="1" ht="21.75">
      <c r="B31" s="207"/>
      <c r="C31" s="220"/>
      <c r="D31" s="389"/>
      <c r="E31" s="390"/>
    </row>
    <row r="32" spans="1:5" s="197" customFormat="1" ht="21.75">
      <c r="A32" s="213"/>
      <c r="B32" s="221"/>
      <c r="C32" s="220"/>
      <c r="D32" s="389"/>
      <c r="E32" s="390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J58"/>
  <sheetViews>
    <sheetView view="pageBreakPreview" zoomScale="110" zoomScaleSheetLayoutView="110" zoomScalePageLayoutView="0" workbookViewId="0" topLeftCell="A1">
      <selection activeCell="A27" sqref="A27:IV27"/>
    </sheetView>
  </sheetViews>
  <sheetFormatPr defaultColWidth="9.140625" defaultRowHeight="15"/>
  <cols>
    <col min="1" max="1" width="6.00390625" style="59" customWidth="1"/>
    <col min="2" max="2" width="21.140625" style="59" customWidth="1"/>
    <col min="3" max="3" width="5.421875" style="59" customWidth="1"/>
    <col min="4" max="10" width="8.28125" style="59" customWidth="1"/>
    <col min="11" max="16384" width="9.00390625" style="59" customWidth="1"/>
  </cols>
  <sheetData>
    <row r="1" spans="1:10" ht="23.2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23.25">
      <c r="A2" s="459" t="s">
        <v>285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23.25">
      <c r="A3" s="459" t="s">
        <v>280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23.25">
      <c r="A4" s="490"/>
      <c r="B4" s="490"/>
      <c r="C4" s="490"/>
      <c r="D4" s="490"/>
      <c r="E4" s="490"/>
      <c r="F4" s="490"/>
      <c r="G4" s="490"/>
      <c r="H4" s="490"/>
      <c r="I4" s="490"/>
      <c r="J4" s="490"/>
    </row>
    <row r="5" spans="1:10" ht="23.25">
      <c r="A5" s="491" t="s">
        <v>281</v>
      </c>
      <c r="B5" s="491" t="s">
        <v>282</v>
      </c>
      <c r="C5" s="491" t="s">
        <v>283</v>
      </c>
      <c r="D5" s="458" t="s">
        <v>284</v>
      </c>
      <c r="E5" s="458"/>
      <c r="F5" s="458"/>
      <c r="G5" s="458"/>
      <c r="H5" s="458"/>
      <c r="I5" s="458"/>
      <c r="J5" s="458"/>
    </row>
    <row r="6" spans="1:10" ht="23.25">
      <c r="A6" s="492"/>
      <c r="B6" s="492"/>
      <c r="C6" s="492"/>
      <c r="D6" s="69">
        <v>2555</v>
      </c>
      <c r="E6" s="69">
        <v>2556</v>
      </c>
      <c r="F6" s="69">
        <v>2557</v>
      </c>
      <c r="G6" s="69">
        <v>2558</v>
      </c>
      <c r="H6" s="69">
        <v>2559</v>
      </c>
      <c r="I6" s="69">
        <v>2560</v>
      </c>
      <c r="J6" s="69">
        <v>2561</v>
      </c>
    </row>
    <row r="7" spans="1:10" ht="23.2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23.25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23.25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23.25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3.2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3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23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3.2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3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3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3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3.2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3.2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23.2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3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23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3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23.2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23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23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3.2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3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3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3.2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3.25">
      <c r="A31" s="460" t="s">
        <v>68</v>
      </c>
      <c r="B31" s="461"/>
      <c r="C31" s="461"/>
      <c r="D31" s="384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23.25">
      <c r="A32" s="491" t="s">
        <v>281</v>
      </c>
      <c r="B32" s="491" t="s">
        <v>282</v>
      </c>
      <c r="C32" s="491" t="s">
        <v>283</v>
      </c>
      <c r="D32" s="458" t="s">
        <v>284</v>
      </c>
      <c r="E32" s="458"/>
      <c r="F32" s="458"/>
      <c r="G32" s="458"/>
      <c r="H32" s="458"/>
      <c r="I32" s="458"/>
      <c r="J32" s="458"/>
    </row>
    <row r="33" spans="1:10" ht="23.25">
      <c r="A33" s="492"/>
      <c r="B33" s="492"/>
      <c r="C33" s="492"/>
      <c r="D33" s="69">
        <v>2555</v>
      </c>
      <c r="E33" s="69">
        <v>2556</v>
      </c>
      <c r="F33" s="69">
        <v>2557</v>
      </c>
      <c r="G33" s="69">
        <v>2558</v>
      </c>
      <c r="H33" s="69">
        <v>2559</v>
      </c>
      <c r="I33" s="69">
        <v>2560</v>
      </c>
      <c r="J33" s="69">
        <v>2561</v>
      </c>
    </row>
    <row r="34" spans="1:10" ht="23.25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23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23.25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23.25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23.25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23.2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23.25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3.2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23.25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23.25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23.25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0" ht="23.25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 ht="23.25">
      <c r="A46" s="70"/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23.25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ht="23.25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23.2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23.25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23.25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 ht="23.2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23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ht="23.25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23.2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23.2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0" ht="23.2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23.25">
      <c r="A58" s="460" t="s">
        <v>68</v>
      </c>
      <c r="B58" s="461"/>
      <c r="C58" s="461"/>
      <c r="D58" s="384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</row>
  </sheetData>
  <sheetProtection/>
  <mergeCells count="14">
    <mergeCell ref="A58:C58"/>
    <mergeCell ref="A1:J1"/>
    <mergeCell ref="A32:A33"/>
    <mergeCell ref="B32:B33"/>
    <mergeCell ref="C32:C33"/>
    <mergeCell ref="D32:J32"/>
    <mergeCell ref="A31:C31"/>
    <mergeCell ref="D5:J5"/>
    <mergeCell ref="A2:J2"/>
    <mergeCell ref="A3:J3"/>
    <mergeCell ref="A4:J4"/>
    <mergeCell ref="A5:A6"/>
    <mergeCell ref="B5:B6"/>
    <mergeCell ref="C5:C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view="pageBreakPreview" zoomScale="110" zoomScaleSheetLayoutView="110" zoomScalePageLayoutView="0" workbookViewId="0" topLeftCell="A22">
      <selection activeCell="A58" sqref="A58:J58"/>
    </sheetView>
  </sheetViews>
  <sheetFormatPr defaultColWidth="9.140625" defaultRowHeight="15"/>
  <cols>
    <col min="1" max="1" width="6.00390625" style="59" customWidth="1"/>
    <col min="2" max="2" width="21.140625" style="59" customWidth="1"/>
    <col min="3" max="3" width="5.421875" style="59" customWidth="1"/>
    <col min="4" max="10" width="8.28125" style="59" customWidth="1"/>
    <col min="11" max="16384" width="9.00390625" style="59" customWidth="1"/>
  </cols>
  <sheetData>
    <row r="1" spans="1:10" ht="23.2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23.25">
      <c r="A2" s="459" t="s">
        <v>286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23.25">
      <c r="A3" s="459" t="s">
        <v>280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23.25">
      <c r="A4" s="490"/>
      <c r="B4" s="490"/>
      <c r="C4" s="490"/>
      <c r="D4" s="490"/>
      <c r="E4" s="490"/>
      <c r="F4" s="490"/>
      <c r="G4" s="490"/>
      <c r="H4" s="490"/>
      <c r="I4" s="490"/>
      <c r="J4" s="490"/>
    </row>
    <row r="5" spans="1:10" ht="23.25">
      <c r="A5" s="491" t="s">
        <v>281</v>
      </c>
      <c r="B5" s="491" t="s">
        <v>282</v>
      </c>
      <c r="C5" s="491" t="s">
        <v>283</v>
      </c>
      <c r="D5" s="458" t="s">
        <v>284</v>
      </c>
      <c r="E5" s="458"/>
      <c r="F5" s="458"/>
      <c r="G5" s="458"/>
      <c r="H5" s="458"/>
      <c r="I5" s="458"/>
      <c r="J5" s="458"/>
    </row>
    <row r="6" spans="1:10" ht="23.25">
      <c r="A6" s="492"/>
      <c r="B6" s="492"/>
      <c r="C6" s="492"/>
      <c r="D6" s="69">
        <v>2555</v>
      </c>
      <c r="E6" s="69">
        <v>2556</v>
      </c>
      <c r="F6" s="69">
        <v>2557</v>
      </c>
      <c r="G6" s="69">
        <v>2558</v>
      </c>
      <c r="H6" s="69">
        <v>2559</v>
      </c>
      <c r="I6" s="69">
        <v>2560</v>
      </c>
      <c r="J6" s="69">
        <v>2561</v>
      </c>
    </row>
    <row r="7" spans="1:10" ht="23.2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23.25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23.25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23.25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3.2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3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23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3.2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3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3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3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3.2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3.2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23.2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3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23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3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23.2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23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23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3.2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3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3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3.25">
      <c r="A30" s="460" t="s">
        <v>68</v>
      </c>
      <c r="B30" s="461"/>
      <c r="C30" s="461"/>
      <c r="D30" s="384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</row>
    <row r="31" spans="1:10" ht="23.25">
      <c r="A31" s="362"/>
      <c r="B31" s="363"/>
      <c r="C31" s="363"/>
      <c r="D31" s="357"/>
      <c r="E31" s="222"/>
      <c r="F31" s="222"/>
      <c r="G31" s="222"/>
      <c r="H31" s="222"/>
      <c r="I31" s="222"/>
      <c r="J31" s="222"/>
    </row>
    <row r="32" spans="1:10" ht="23.25">
      <c r="A32" s="491" t="s">
        <v>281</v>
      </c>
      <c r="B32" s="491" t="s">
        <v>282</v>
      </c>
      <c r="C32" s="491" t="s">
        <v>283</v>
      </c>
      <c r="D32" s="458" t="s">
        <v>284</v>
      </c>
      <c r="E32" s="458"/>
      <c r="F32" s="458"/>
      <c r="G32" s="458"/>
      <c r="H32" s="458"/>
      <c r="I32" s="458"/>
      <c r="J32" s="458"/>
    </row>
    <row r="33" spans="1:10" ht="23.25">
      <c r="A33" s="492"/>
      <c r="B33" s="492"/>
      <c r="C33" s="492"/>
      <c r="D33" s="69">
        <v>2555</v>
      </c>
      <c r="E33" s="69">
        <v>2556</v>
      </c>
      <c r="F33" s="69">
        <v>2557</v>
      </c>
      <c r="G33" s="69">
        <v>2558</v>
      </c>
      <c r="H33" s="69">
        <v>2559</v>
      </c>
      <c r="I33" s="69">
        <v>2560</v>
      </c>
      <c r="J33" s="69">
        <v>2561</v>
      </c>
    </row>
    <row r="34" spans="1:10" ht="23.25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23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23.25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23.25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23.25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23.2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23.25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3.2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23.25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23.25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23.25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0" ht="23.25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 ht="23.25">
      <c r="A46" s="70"/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23.25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ht="23.25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23.2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23.25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23.25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 ht="23.2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23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ht="23.25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23.2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23.2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0" ht="23.2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23.25">
      <c r="A58" s="460" t="s">
        <v>68</v>
      </c>
      <c r="B58" s="461"/>
      <c r="C58" s="461"/>
      <c r="D58" s="384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</row>
  </sheetData>
  <sheetProtection/>
  <mergeCells count="14">
    <mergeCell ref="A58:C58"/>
    <mergeCell ref="A1:J1"/>
    <mergeCell ref="A32:A33"/>
    <mergeCell ref="B32:B33"/>
    <mergeCell ref="C32:C33"/>
    <mergeCell ref="D32:J32"/>
    <mergeCell ref="A30:C30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view="pageBreakPreview" zoomScale="110" zoomScaleSheetLayoutView="110" zoomScalePageLayoutView="0" workbookViewId="0" topLeftCell="A22">
      <selection activeCell="E28" sqref="E28"/>
    </sheetView>
  </sheetViews>
  <sheetFormatPr defaultColWidth="9.140625" defaultRowHeight="15"/>
  <cols>
    <col min="1" max="1" width="6.00390625" style="59" customWidth="1"/>
    <col min="2" max="2" width="21.140625" style="59" customWidth="1"/>
    <col min="3" max="3" width="5.421875" style="59" customWidth="1"/>
    <col min="4" max="10" width="8.28125" style="59" customWidth="1"/>
    <col min="11" max="16384" width="9.00390625" style="59" customWidth="1"/>
  </cols>
  <sheetData>
    <row r="1" spans="1:10" ht="23.25">
      <c r="A1" s="486" t="str">
        <f>+งบแสดงฐานะการเงิน!A1</f>
        <v>องค์การบริหารส่วนตำบลหันห้วยทราย</v>
      </c>
      <c r="B1" s="486"/>
      <c r="C1" s="486"/>
      <c r="D1" s="486"/>
      <c r="E1" s="486"/>
      <c r="F1" s="486"/>
      <c r="G1" s="486"/>
      <c r="H1" s="486"/>
      <c r="I1" s="486"/>
      <c r="J1" s="486"/>
    </row>
    <row r="2" spans="1:10" ht="23.25">
      <c r="A2" s="459" t="s">
        <v>287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23.25">
      <c r="A3" s="459" t="s">
        <v>280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23.25">
      <c r="A4" s="490"/>
      <c r="B4" s="490"/>
      <c r="C4" s="490"/>
      <c r="D4" s="490"/>
      <c r="E4" s="490"/>
      <c r="F4" s="490"/>
      <c r="G4" s="490"/>
      <c r="H4" s="490"/>
      <c r="I4" s="490"/>
      <c r="J4" s="490"/>
    </row>
    <row r="5" spans="1:10" ht="23.25">
      <c r="A5" s="491" t="s">
        <v>281</v>
      </c>
      <c r="B5" s="491" t="s">
        <v>282</v>
      </c>
      <c r="C5" s="491" t="s">
        <v>283</v>
      </c>
      <c r="D5" s="458" t="s">
        <v>284</v>
      </c>
      <c r="E5" s="458"/>
      <c r="F5" s="458"/>
      <c r="G5" s="458"/>
      <c r="H5" s="458"/>
      <c r="I5" s="458"/>
      <c r="J5" s="458"/>
    </row>
    <row r="6" spans="1:10" ht="23.25">
      <c r="A6" s="492"/>
      <c r="B6" s="492"/>
      <c r="C6" s="492"/>
      <c r="D6" s="69">
        <v>2555</v>
      </c>
      <c r="E6" s="69">
        <v>2556</v>
      </c>
      <c r="F6" s="69">
        <v>2557</v>
      </c>
      <c r="G6" s="69">
        <v>2558</v>
      </c>
      <c r="H6" s="69">
        <v>2559</v>
      </c>
      <c r="I6" s="69">
        <v>2560</v>
      </c>
      <c r="J6" s="69">
        <v>2561</v>
      </c>
    </row>
    <row r="7" spans="1:10" ht="23.25">
      <c r="A7" s="70"/>
      <c r="B7" s="70"/>
      <c r="C7" s="70"/>
      <c r="D7" s="70"/>
      <c r="E7" s="70"/>
      <c r="F7" s="70"/>
      <c r="G7" s="70"/>
      <c r="H7" s="70"/>
      <c r="I7" s="70"/>
      <c r="J7" s="70"/>
    </row>
    <row r="8" spans="1:10" ht="23.25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23.25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ht="23.25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23.25">
      <c r="A11" s="70"/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23.25">
      <c r="A12" s="70"/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23.25">
      <c r="A13" s="70"/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23.25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3.25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3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0" ht="23.25">
      <c r="A17" s="70"/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23.2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3.25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23.25">
      <c r="A20" s="70"/>
      <c r="B20" s="70"/>
      <c r="C20" s="70"/>
      <c r="D20" s="70"/>
      <c r="E20" s="70"/>
      <c r="F20" s="70"/>
      <c r="G20" s="70"/>
      <c r="H20" s="70"/>
      <c r="I20" s="70"/>
      <c r="J20" s="70"/>
    </row>
    <row r="21" spans="1:10" ht="23.25">
      <c r="A21" s="70"/>
      <c r="B21" s="70"/>
      <c r="C21" s="70"/>
      <c r="D21" s="70"/>
      <c r="E21" s="70"/>
      <c r="F21" s="70"/>
      <c r="G21" s="70"/>
      <c r="H21" s="70"/>
      <c r="I21" s="70"/>
      <c r="J21" s="70"/>
    </row>
    <row r="22" spans="1:10" ht="23.25">
      <c r="A22" s="70"/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3.25">
      <c r="A23" s="70"/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23.25">
      <c r="A24" s="70"/>
      <c r="B24" s="70"/>
      <c r="C24" s="70"/>
      <c r="D24" s="70"/>
      <c r="E24" s="70"/>
      <c r="F24" s="70"/>
      <c r="G24" s="70"/>
      <c r="H24" s="70"/>
      <c r="I24" s="70"/>
      <c r="J24" s="70"/>
    </row>
    <row r="25" spans="1:10" ht="23.25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23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3.2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3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3.25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3.25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3.25">
      <c r="A31" s="460" t="s">
        <v>68</v>
      </c>
      <c r="B31" s="461"/>
      <c r="C31" s="461"/>
      <c r="D31" s="384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</row>
    <row r="32" spans="1:10" ht="23.25">
      <c r="A32" s="491" t="s">
        <v>281</v>
      </c>
      <c r="B32" s="491" t="s">
        <v>282</v>
      </c>
      <c r="C32" s="491" t="s">
        <v>283</v>
      </c>
      <c r="D32" s="458" t="s">
        <v>284</v>
      </c>
      <c r="E32" s="458"/>
      <c r="F32" s="458"/>
      <c r="G32" s="458"/>
      <c r="H32" s="458"/>
      <c r="I32" s="458"/>
      <c r="J32" s="458"/>
    </row>
    <row r="33" spans="1:10" ht="23.25">
      <c r="A33" s="492"/>
      <c r="B33" s="492"/>
      <c r="C33" s="492"/>
      <c r="D33" s="69">
        <v>2555</v>
      </c>
      <c r="E33" s="69">
        <v>2556</v>
      </c>
      <c r="F33" s="69">
        <v>2557</v>
      </c>
      <c r="G33" s="69">
        <v>2558</v>
      </c>
      <c r="H33" s="69">
        <v>2559</v>
      </c>
      <c r="I33" s="69">
        <v>2560</v>
      </c>
      <c r="J33" s="69">
        <v>2561</v>
      </c>
    </row>
    <row r="34" spans="1:10" ht="23.25">
      <c r="A34" s="70"/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23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23.25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23.25">
      <c r="A37" s="70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23.25">
      <c r="A38" s="70"/>
      <c r="B38" s="70"/>
      <c r="C38" s="70"/>
      <c r="D38" s="70"/>
      <c r="E38" s="70"/>
      <c r="F38" s="70"/>
      <c r="G38" s="70"/>
      <c r="H38" s="70"/>
      <c r="I38" s="70"/>
      <c r="J38" s="70"/>
    </row>
    <row r="39" spans="1:10" ht="23.2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23.25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23.25">
      <c r="A41" s="70"/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23.25">
      <c r="A42" s="70"/>
      <c r="B42" s="70"/>
      <c r="C42" s="70"/>
      <c r="D42" s="70"/>
      <c r="E42" s="70"/>
      <c r="F42" s="70"/>
      <c r="G42" s="70"/>
      <c r="H42" s="70"/>
      <c r="I42" s="70"/>
      <c r="J42" s="70"/>
    </row>
    <row r="43" spans="1:10" ht="23.25">
      <c r="A43" s="70"/>
      <c r="B43" s="70"/>
      <c r="C43" s="70"/>
      <c r="D43" s="70"/>
      <c r="E43" s="70"/>
      <c r="F43" s="70"/>
      <c r="G43" s="70"/>
      <c r="H43" s="70"/>
      <c r="I43" s="70"/>
      <c r="J43" s="70"/>
    </row>
    <row r="44" spans="1:10" ht="23.25">
      <c r="A44" s="70"/>
      <c r="B44" s="70"/>
      <c r="C44" s="70"/>
      <c r="D44" s="70"/>
      <c r="E44" s="70"/>
      <c r="F44" s="70"/>
      <c r="G44" s="70"/>
      <c r="H44" s="70"/>
      <c r="I44" s="70"/>
      <c r="J44" s="70"/>
    </row>
    <row r="45" spans="1:10" ht="23.25">
      <c r="A45" s="70"/>
      <c r="B45" s="70"/>
      <c r="C45" s="70"/>
      <c r="D45" s="70"/>
      <c r="E45" s="70"/>
      <c r="F45" s="70"/>
      <c r="G45" s="70"/>
      <c r="H45" s="70"/>
      <c r="I45" s="70"/>
      <c r="J45" s="70"/>
    </row>
    <row r="46" spans="1:10" ht="23.25">
      <c r="A46" s="70"/>
      <c r="B46" s="70"/>
      <c r="C46" s="70"/>
      <c r="D46" s="70"/>
      <c r="E46" s="70"/>
      <c r="F46" s="70"/>
      <c r="G46" s="70"/>
      <c r="H46" s="70"/>
      <c r="I46" s="70"/>
      <c r="J46" s="70"/>
    </row>
    <row r="47" spans="1:10" ht="23.25">
      <c r="A47" s="70"/>
      <c r="B47" s="70"/>
      <c r="C47" s="70"/>
      <c r="D47" s="70"/>
      <c r="E47" s="70"/>
      <c r="F47" s="70"/>
      <c r="G47" s="70"/>
      <c r="H47" s="70"/>
      <c r="I47" s="70"/>
      <c r="J47" s="70"/>
    </row>
    <row r="48" spans="1:10" ht="23.25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23.25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ht="23.25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ht="23.25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 ht="23.25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23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ht="23.25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23.25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23.25">
      <c r="A56" s="70"/>
      <c r="B56" s="70"/>
      <c r="C56" s="70"/>
      <c r="D56" s="70"/>
      <c r="E56" s="70"/>
      <c r="F56" s="70"/>
      <c r="G56" s="70"/>
      <c r="H56" s="70"/>
      <c r="I56" s="70"/>
      <c r="J56" s="70"/>
    </row>
    <row r="57" spans="1:10" ht="23.25">
      <c r="A57" s="70"/>
      <c r="B57" s="70"/>
      <c r="C57" s="70"/>
      <c r="D57" s="70"/>
      <c r="E57" s="70"/>
      <c r="F57" s="70"/>
      <c r="G57" s="70"/>
      <c r="H57" s="70"/>
      <c r="I57" s="70"/>
      <c r="J57" s="70"/>
    </row>
    <row r="58" spans="1:10" ht="23.25">
      <c r="A58" s="460" t="s">
        <v>68</v>
      </c>
      <c r="B58" s="461"/>
      <c r="C58" s="461"/>
      <c r="D58" s="384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</row>
  </sheetData>
  <sheetProtection/>
  <mergeCells count="14">
    <mergeCell ref="A58:C58"/>
    <mergeCell ref="A1:J1"/>
    <mergeCell ref="A32:A33"/>
    <mergeCell ref="B32:B33"/>
    <mergeCell ref="C32:C33"/>
    <mergeCell ref="D32:J32"/>
    <mergeCell ref="A31:C31"/>
    <mergeCell ref="A2:J2"/>
    <mergeCell ref="A3:J3"/>
    <mergeCell ref="A4:J4"/>
    <mergeCell ref="A5:A6"/>
    <mergeCell ref="B5:B6"/>
    <mergeCell ref="C5:C6"/>
    <mergeCell ref="D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workbookViewId="0" topLeftCell="A1">
      <selection activeCell="F56" sqref="F56"/>
    </sheetView>
  </sheetViews>
  <sheetFormatPr defaultColWidth="9.140625" defaultRowHeight="15"/>
  <cols>
    <col min="1" max="1" width="19.421875" style="59" customWidth="1"/>
    <col min="2" max="2" width="23.421875" style="59" customWidth="1"/>
    <col min="3" max="3" width="20.8515625" style="59" customWidth="1"/>
    <col min="4" max="4" width="13.140625" style="59" customWidth="1"/>
    <col min="5" max="5" width="1.421875" style="59" customWidth="1"/>
    <col min="6" max="6" width="12.140625" style="59" customWidth="1"/>
    <col min="7" max="16384" width="9.00390625" style="59" customWidth="1"/>
  </cols>
  <sheetData>
    <row r="1" spans="1:6" ht="23.25">
      <c r="A1" s="459" t="s">
        <v>339</v>
      </c>
      <c r="B1" s="459"/>
      <c r="C1" s="459"/>
      <c r="D1" s="459"/>
      <c r="E1" s="459"/>
      <c r="F1" s="459"/>
    </row>
    <row r="2" spans="1:6" ht="23.25">
      <c r="A2" s="459" t="s">
        <v>65</v>
      </c>
      <c r="B2" s="459"/>
      <c r="C2" s="459"/>
      <c r="D2" s="459"/>
      <c r="E2" s="459"/>
      <c r="F2" s="459"/>
    </row>
    <row r="3" spans="1:6" ht="23.25">
      <c r="A3" s="459" t="s">
        <v>450</v>
      </c>
      <c r="B3" s="459"/>
      <c r="C3" s="459"/>
      <c r="D3" s="459"/>
      <c r="E3" s="459"/>
      <c r="F3" s="459"/>
    </row>
    <row r="5" spans="1:6" ht="23.25">
      <c r="A5" s="60" t="s">
        <v>66</v>
      </c>
      <c r="D5" s="61">
        <v>2561</v>
      </c>
      <c r="E5" s="61"/>
      <c r="F5" s="61">
        <v>2560</v>
      </c>
    </row>
    <row r="6" spans="2:6" ht="23.25">
      <c r="B6" s="254" t="s">
        <v>67</v>
      </c>
      <c r="D6" s="62">
        <v>0</v>
      </c>
      <c r="F6" s="256">
        <v>0</v>
      </c>
    </row>
    <row r="7" spans="2:6" ht="23.25">
      <c r="B7" s="254" t="s">
        <v>320</v>
      </c>
      <c r="C7" s="255"/>
      <c r="D7" s="62">
        <v>2956090.25</v>
      </c>
      <c r="F7" s="256">
        <f>3260695.7</f>
        <v>3260695.7</v>
      </c>
    </row>
    <row r="8" spans="2:6" ht="23.25">
      <c r="B8" s="254" t="s">
        <v>327</v>
      </c>
      <c r="C8" s="255"/>
      <c r="D8" s="62">
        <v>986523.08</v>
      </c>
      <c r="F8" s="256">
        <f>959988.81</f>
        <v>959988.81</v>
      </c>
    </row>
    <row r="9" spans="2:6" ht="23.25">
      <c r="B9" s="254" t="s">
        <v>321</v>
      </c>
      <c r="C9" s="255"/>
      <c r="D9" s="62">
        <v>7901098.26</v>
      </c>
      <c r="F9" s="256">
        <f>2485542.46</f>
        <v>2485542.46</v>
      </c>
    </row>
    <row r="10" spans="2:6" ht="23.25">
      <c r="B10" s="254" t="s">
        <v>322</v>
      </c>
      <c r="C10" s="255"/>
      <c r="D10" s="62">
        <v>5160918.7</v>
      </c>
      <c r="F10" s="257">
        <v>5141876.16</v>
      </c>
    </row>
    <row r="11" spans="2:6" ht="23.25">
      <c r="B11" s="254" t="s">
        <v>323</v>
      </c>
      <c r="D11" s="62">
        <v>1713972.37</v>
      </c>
      <c r="F11" s="257">
        <v>1696162.66</v>
      </c>
    </row>
    <row r="12" spans="2:6" ht="23.25">
      <c r="B12" s="254" t="s">
        <v>324</v>
      </c>
      <c r="D12" s="62">
        <v>2244394.81</v>
      </c>
      <c r="F12" s="258">
        <v>2219975.08</v>
      </c>
    </row>
    <row r="13" spans="2:6" ht="23.25">
      <c r="B13" s="254" t="s">
        <v>325</v>
      </c>
      <c r="D13" s="62">
        <v>0</v>
      </c>
      <c r="F13" s="258">
        <v>0</v>
      </c>
    </row>
    <row r="14" spans="2:6" ht="23.25">
      <c r="B14" s="254" t="s">
        <v>326</v>
      </c>
      <c r="D14" s="62">
        <v>0</v>
      </c>
      <c r="F14" s="62">
        <v>0</v>
      </c>
    </row>
    <row r="15" spans="2:6" ht="24" thickBot="1">
      <c r="B15" s="260" t="s">
        <v>68</v>
      </c>
      <c r="D15" s="259">
        <f>SUM(D6:D14)</f>
        <v>20962997.47</v>
      </c>
      <c r="F15" s="259">
        <f>SUM(F6:F14)</f>
        <v>15764240.87</v>
      </c>
    </row>
    <row r="16" spans="4:6" ht="24" thickTop="1">
      <c r="D16" s="62"/>
      <c r="F16" s="256"/>
    </row>
    <row r="17" spans="4:6" ht="23.25">
      <c r="D17" s="62"/>
      <c r="F17" s="256"/>
    </row>
    <row r="18" spans="1:6" ht="23.25">
      <c r="A18" s="60" t="s">
        <v>202</v>
      </c>
      <c r="D18" s="61">
        <v>2561</v>
      </c>
      <c r="E18" s="61"/>
      <c r="F18" s="61">
        <v>2560</v>
      </c>
    </row>
    <row r="19" spans="2:6" ht="23.25">
      <c r="B19" s="59" t="s">
        <v>203</v>
      </c>
      <c r="C19" s="64"/>
      <c r="D19" s="66">
        <v>0</v>
      </c>
      <c r="F19" s="62">
        <v>0</v>
      </c>
    </row>
    <row r="20" ht="23.25">
      <c r="B20" s="59" t="s">
        <v>204</v>
      </c>
    </row>
    <row r="21" spans="1:6" ht="24" thickBot="1">
      <c r="A21" s="67"/>
      <c r="B21" s="63" t="s">
        <v>68</v>
      </c>
      <c r="C21" s="64"/>
      <c r="D21" s="65">
        <f>SUM(D19:D20)</f>
        <v>0</v>
      </c>
      <c r="F21" s="65">
        <f>SUM(F19:F20)</f>
        <v>0</v>
      </c>
    </row>
    <row r="22" spans="1:4" ht="24" thickTop="1">
      <c r="A22" s="67"/>
      <c r="B22" s="67"/>
      <c r="C22" s="67"/>
      <c r="D22" s="68"/>
    </row>
    <row r="23" spans="1:6" ht="23.25">
      <c r="A23" s="60" t="s">
        <v>205</v>
      </c>
      <c r="D23" s="61">
        <v>2561</v>
      </c>
      <c r="E23" s="61"/>
      <c r="F23" s="61">
        <v>2560</v>
      </c>
    </row>
    <row r="24" spans="2:6" ht="23.25">
      <c r="B24" s="59" t="s">
        <v>183</v>
      </c>
      <c r="C24" s="64"/>
      <c r="D24" s="66">
        <v>0</v>
      </c>
      <c r="F24" s="62">
        <v>0</v>
      </c>
    </row>
    <row r="25" ht="23.25">
      <c r="B25" s="59" t="s">
        <v>193</v>
      </c>
    </row>
    <row r="26" spans="1:6" ht="24" thickBot="1">
      <c r="A26" s="67"/>
      <c r="B26" s="63" t="s">
        <v>68</v>
      </c>
      <c r="C26" s="64"/>
      <c r="D26" s="65">
        <f>SUM(D24:D25)</f>
        <v>0</v>
      </c>
      <c r="F26" s="65">
        <f>SUM(F24:F25)</f>
        <v>0</v>
      </c>
    </row>
    <row r="27" spans="1:6" ht="24" thickTop="1">
      <c r="A27" s="67"/>
      <c r="B27" s="63"/>
      <c r="C27" s="64"/>
      <c r="D27" s="66"/>
      <c r="F27" s="66"/>
    </row>
    <row r="28" spans="1:6" ht="23.25">
      <c r="A28" s="67"/>
      <c r="B28" s="63"/>
      <c r="C28" s="64"/>
      <c r="D28" s="66"/>
      <c r="F28" s="66"/>
    </row>
    <row r="29" spans="1:6" ht="23.25">
      <c r="A29" s="67"/>
      <c r="B29" s="63"/>
      <c r="C29" s="64"/>
      <c r="D29" s="66"/>
      <c r="F29" s="66"/>
    </row>
    <row r="30" spans="1:6" ht="23.25">
      <c r="A30" s="67"/>
      <c r="B30" s="63"/>
      <c r="C30" s="64"/>
      <c r="D30" s="66"/>
      <c r="F30" s="66"/>
    </row>
    <row r="32" spans="1:6" ht="23.25">
      <c r="A32" s="60" t="s">
        <v>206</v>
      </c>
      <c r="D32" s="64"/>
      <c r="E32" s="64"/>
      <c r="F32" s="64"/>
    </row>
    <row r="33" ht="23.25">
      <c r="A33" s="59" t="s">
        <v>181</v>
      </c>
    </row>
    <row r="34" spans="1:6" ht="23.25">
      <c r="A34" s="69" t="s">
        <v>207</v>
      </c>
      <c r="B34" s="69" t="s">
        <v>76</v>
      </c>
      <c r="C34" s="69" t="s">
        <v>31</v>
      </c>
      <c r="D34" s="458" t="s">
        <v>30</v>
      </c>
      <c r="E34" s="458"/>
      <c r="F34" s="458"/>
    </row>
    <row r="35" spans="1:6" ht="23.25">
      <c r="A35" s="70" t="s">
        <v>208</v>
      </c>
      <c r="B35" s="70" t="s">
        <v>175</v>
      </c>
      <c r="C35" s="70" t="s">
        <v>209</v>
      </c>
      <c r="D35" s="456">
        <v>0</v>
      </c>
      <c r="E35" s="456"/>
      <c r="F35" s="456"/>
    </row>
    <row r="36" spans="1:6" ht="23.25">
      <c r="A36" s="458" t="s">
        <v>68</v>
      </c>
      <c r="B36" s="458"/>
      <c r="C36" s="458"/>
      <c r="D36" s="456">
        <f>SUM(D35)</f>
        <v>0</v>
      </c>
      <c r="E36" s="456"/>
      <c r="F36" s="456"/>
    </row>
    <row r="37" spans="1:6" ht="46.5">
      <c r="A37" s="71" t="s">
        <v>210</v>
      </c>
      <c r="B37" s="72" t="s">
        <v>211</v>
      </c>
      <c r="C37" s="71" t="s">
        <v>212</v>
      </c>
      <c r="D37" s="456">
        <v>0</v>
      </c>
      <c r="E37" s="456"/>
      <c r="F37" s="456"/>
    </row>
    <row r="38" spans="1:6" ht="23.25">
      <c r="A38" s="458" t="s">
        <v>68</v>
      </c>
      <c r="B38" s="458"/>
      <c r="C38" s="458"/>
      <c r="D38" s="456">
        <f>SUM(D37)</f>
        <v>0</v>
      </c>
      <c r="E38" s="456"/>
      <c r="F38" s="456"/>
    </row>
    <row r="39" spans="1:6" ht="23.25">
      <c r="A39" s="70" t="s">
        <v>210</v>
      </c>
      <c r="B39" s="70" t="s">
        <v>13</v>
      </c>
      <c r="C39" s="70" t="s">
        <v>213</v>
      </c>
      <c r="D39" s="456">
        <v>0</v>
      </c>
      <c r="E39" s="456"/>
      <c r="F39" s="456"/>
    </row>
    <row r="40" spans="1:6" ht="23.25">
      <c r="A40" s="458" t="s">
        <v>68</v>
      </c>
      <c r="B40" s="458"/>
      <c r="C40" s="458"/>
      <c r="D40" s="456">
        <f>SUM(D39)</f>
        <v>0</v>
      </c>
      <c r="E40" s="456"/>
      <c r="F40" s="456"/>
    </row>
    <row r="41" spans="1:6" ht="23.25">
      <c r="A41" s="458" t="s">
        <v>73</v>
      </c>
      <c r="B41" s="458"/>
      <c r="C41" s="458"/>
      <c r="D41" s="457">
        <f>+D36+D38+D40</f>
        <v>0</v>
      </c>
      <c r="E41" s="457"/>
      <c r="F41" s="457"/>
    </row>
    <row r="43" ht="23.25">
      <c r="A43" s="59" t="s">
        <v>214</v>
      </c>
    </row>
    <row r="44" spans="1:6" ht="23.25">
      <c r="A44" s="69" t="s">
        <v>207</v>
      </c>
      <c r="B44" s="69" t="s">
        <v>76</v>
      </c>
      <c r="C44" s="69" t="s">
        <v>31</v>
      </c>
      <c r="D44" s="458" t="s">
        <v>30</v>
      </c>
      <c r="E44" s="458"/>
      <c r="F44" s="458"/>
    </row>
    <row r="45" spans="1:6" ht="23.25">
      <c r="A45" s="70" t="s">
        <v>208</v>
      </c>
      <c r="B45" s="70" t="s">
        <v>175</v>
      </c>
      <c r="C45" s="70" t="s">
        <v>209</v>
      </c>
      <c r="D45" s="456">
        <v>0</v>
      </c>
      <c r="E45" s="456"/>
      <c r="F45" s="456"/>
    </row>
    <row r="46" spans="1:6" ht="23.25">
      <c r="A46" s="458" t="s">
        <v>68</v>
      </c>
      <c r="B46" s="458"/>
      <c r="C46" s="458"/>
      <c r="D46" s="456">
        <f>SUM(D45)</f>
        <v>0</v>
      </c>
      <c r="E46" s="456"/>
      <c r="F46" s="456"/>
    </row>
    <row r="47" spans="1:6" ht="46.5">
      <c r="A47" s="71" t="s">
        <v>210</v>
      </c>
      <c r="B47" s="72" t="s">
        <v>211</v>
      </c>
      <c r="C47" s="71" t="s">
        <v>212</v>
      </c>
      <c r="D47" s="456">
        <v>0</v>
      </c>
      <c r="E47" s="456"/>
      <c r="F47" s="456"/>
    </row>
    <row r="48" spans="1:6" ht="23.25">
      <c r="A48" s="458" t="s">
        <v>68</v>
      </c>
      <c r="B48" s="458"/>
      <c r="C48" s="458"/>
      <c r="D48" s="456">
        <f>SUM(D47)</f>
        <v>0</v>
      </c>
      <c r="E48" s="456"/>
      <c r="F48" s="456"/>
    </row>
    <row r="49" spans="1:6" ht="23.25">
      <c r="A49" s="70" t="s">
        <v>210</v>
      </c>
      <c r="B49" s="70" t="s">
        <v>13</v>
      </c>
      <c r="C49" s="70" t="s">
        <v>213</v>
      </c>
      <c r="D49" s="456">
        <v>0</v>
      </c>
      <c r="E49" s="456"/>
      <c r="F49" s="456"/>
    </row>
    <row r="50" spans="1:6" ht="23.25">
      <c r="A50" s="458" t="s">
        <v>68</v>
      </c>
      <c r="B50" s="458"/>
      <c r="C50" s="458"/>
      <c r="D50" s="456">
        <f>SUM(D49)</f>
        <v>0</v>
      </c>
      <c r="E50" s="456"/>
      <c r="F50" s="456"/>
    </row>
    <row r="51" spans="1:6" ht="23.25">
      <c r="A51" s="458" t="s">
        <v>73</v>
      </c>
      <c r="B51" s="458"/>
      <c r="C51" s="458"/>
      <c r="D51" s="457">
        <f>SUM(D50,D48,D46)</f>
        <v>0</v>
      </c>
      <c r="E51" s="457"/>
      <c r="F51" s="457"/>
    </row>
  </sheetData>
  <sheetProtection/>
  <mergeCells count="27">
    <mergeCell ref="D49:F49"/>
    <mergeCell ref="A50:C50"/>
    <mergeCell ref="D50:F50"/>
    <mergeCell ref="A51:C51"/>
    <mergeCell ref="D51:F51"/>
    <mergeCell ref="D45:F45"/>
    <mergeCell ref="A46:C46"/>
    <mergeCell ref="D46:F46"/>
    <mergeCell ref="D47:F47"/>
    <mergeCell ref="A48:C48"/>
    <mergeCell ref="D48:F48"/>
    <mergeCell ref="A36:C36"/>
    <mergeCell ref="A38:C38"/>
    <mergeCell ref="A1:F1"/>
    <mergeCell ref="A2:F2"/>
    <mergeCell ref="A3:F3"/>
    <mergeCell ref="D44:F44"/>
    <mergeCell ref="A40:C40"/>
    <mergeCell ref="A41:C41"/>
    <mergeCell ref="D39:F39"/>
    <mergeCell ref="D40:F40"/>
    <mergeCell ref="D41:F41"/>
    <mergeCell ref="D34:F34"/>
    <mergeCell ref="D35:F35"/>
    <mergeCell ref="D36:F36"/>
    <mergeCell ref="D37:F37"/>
    <mergeCell ref="D38:F38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3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7109375" style="59" customWidth="1"/>
    <col min="2" max="2" width="15.28125" style="59" customWidth="1"/>
    <col min="3" max="3" width="14.421875" style="59" customWidth="1"/>
    <col min="4" max="4" width="12.7109375" style="59" customWidth="1"/>
    <col min="5" max="5" width="11.8515625" style="59" customWidth="1"/>
    <col min="6" max="6" width="18.00390625" style="59" customWidth="1"/>
    <col min="7" max="7" width="10.421875" style="59" customWidth="1"/>
    <col min="8" max="8" width="11.28125" style="59" customWidth="1"/>
    <col min="9" max="9" width="12.140625" style="59" customWidth="1"/>
    <col min="10" max="10" width="13.57421875" style="59" customWidth="1"/>
    <col min="11" max="11" width="10.00390625" style="59" customWidth="1"/>
    <col min="12" max="16384" width="9.00390625" style="59" customWidth="1"/>
  </cols>
  <sheetData>
    <row r="1" spans="1:11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23.25">
      <c r="A2" s="459" t="s">
        <v>288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1" ht="23.25">
      <c r="A3" s="69" t="s">
        <v>289</v>
      </c>
      <c r="B3" s="69" t="s">
        <v>35</v>
      </c>
      <c r="C3" s="69" t="s">
        <v>295</v>
      </c>
      <c r="D3" s="69" t="s">
        <v>290</v>
      </c>
      <c r="E3" s="69" t="s">
        <v>291</v>
      </c>
      <c r="F3" s="69" t="s">
        <v>292</v>
      </c>
      <c r="G3" s="69" t="s">
        <v>293</v>
      </c>
      <c r="H3" s="69" t="s">
        <v>304</v>
      </c>
      <c r="I3" s="69" t="s">
        <v>37</v>
      </c>
      <c r="J3" s="69" t="s">
        <v>294</v>
      </c>
      <c r="K3" s="69" t="s">
        <v>76</v>
      </c>
    </row>
    <row r="4" spans="1:11" ht="23.25">
      <c r="A4" s="102">
        <v>1</v>
      </c>
      <c r="B4" s="102" t="s">
        <v>298</v>
      </c>
      <c r="C4" s="102" t="s">
        <v>269</v>
      </c>
      <c r="D4" s="102" t="s">
        <v>299</v>
      </c>
      <c r="E4" s="102" t="s">
        <v>300</v>
      </c>
      <c r="F4" s="102" t="s">
        <v>301</v>
      </c>
      <c r="G4" s="102" t="s">
        <v>303</v>
      </c>
      <c r="H4" s="223">
        <v>241701</v>
      </c>
      <c r="I4" s="102">
        <v>100</v>
      </c>
      <c r="J4" s="102" t="s">
        <v>302</v>
      </c>
      <c r="K4" s="102" t="s">
        <v>26</v>
      </c>
    </row>
    <row r="5" spans="1:11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23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3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23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23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23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23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3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23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3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23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3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3.2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3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3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23.25">
      <c r="A20" s="460" t="s">
        <v>296</v>
      </c>
      <c r="B20" s="461"/>
      <c r="C20" s="461"/>
      <c r="D20" s="461"/>
      <c r="E20" s="461"/>
      <c r="F20" s="461"/>
      <c r="G20" s="461"/>
      <c r="H20" s="461"/>
      <c r="I20" s="475"/>
      <c r="J20" s="222"/>
      <c r="K20" s="70"/>
    </row>
    <row r="21" spans="1:11" ht="23.25">
      <c r="A21" s="69" t="s">
        <v>289</v>
      </c>
      <c r="B21" s="69" t="s">
        <v>35</v>
      </c>
      <c r="C21" s="69" t="s">
        <v>295</v>
      </c>
      <c r="D21" s="69" t="s">
        <v>290</v>
      </c>
      <c r="E21" s="69" t="s">
        <v>291</v>
      </c>
      <c r="F21" s="69" t="s">
        <v>292</v>
      </c>
      <c r="G21" s="69" t="s">
        <v>293</v>
      </c>
      <c r="H21" s="69" t="s">
        <v>293</v>
      </c>
      <c r="I21" s="69" t="s">
        <v>37</v>
      </c>
      <c r="J21" s="69" t="s">
        <v>294</v>
      </c>
      <c r="K21" s="69" t="s">
        <v>76</v>
      </c>
    </row>
    <row r="22" spans="1:11" ht="23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ht="23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23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23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23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23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23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23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23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23.2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23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 ht="23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23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23.2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23.2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 ht="23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ht="23.25">
      <c r="A38" s="460" t="s">
        <v>297</v>
      </c>
      <c r="B38" s="461"/>
      <c r="C38" s="461"/>
      <c r="D38" s="461"/>
      <c r="E38" s="461"/>
      <c r="F38" s="461"/>
      <c r="G38" s="461"/>
      <c r="H38" s="461"/>
      <c r="I38" s="475"/>
      <c r="J38" s="70"/>
      <c r="K38" s="70"/>
    </row>
  </sheetData>
  <sheetProtection/>
  <mergeCells count="4">
    <mergeCell ref="A1:K1"/>
    <mergeCell ref="A2:K2"/>
    <mergeCell ref="A20:I20"/>
    <mergeCell ref="A38:I3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20" zoomScalePageLayoutView="0" workbookViewId="0" topLeftCell="A7">
      <selection activeCell="D10" sqref="D10"/>
    </sheetView>
  </sheetViews>
  <sheetFormatPr defaultColWidth="9.140625" defaultRowHeight="15"/>
  <cols>
    <col min="1" max="1" width="21.140625" style="59" customWidth="1"/>
    <col min="2" max="2" width="21.57421875" style="59" customWidth="1"/>
    <col min="3" max="3" width="19.140625" style="59" customWidth="1"/>
    <col min="4" max="4" width="12.00390625" style="59" bestFit="1" customWidth="1"/>
    <col min="5" max="5" width="3.140625" style="59" customWidth="1"/>
    <col min="6" max="6" width="12.00390625" style="59" bestFit="1" customWidth="1"/>
    <col min="7" max="16384" width="9.00390625" style="59" customWidth="1"/>
  </cols>
  <sheetData>
    <row r="1" spans="1:6" ht="23.25">
      <c r="A1" s="459" t="s">
        <v>339</v>
      </c>
      <c r="B1" s="459"/>
      <c r="C1" s="459"/>
      <c r="D1" s="459"/>
      <c r="E1" s="459"/>
      <c r="F1" s="459"/>
    </row>
    <row r="2" spans="1:6" ht="23.25">
      <c r="A2" s="459" t="s">
        <v>65</v>
      </c>
      <c r="B2" s="459"/>
      <c r="C2" s="459"/>
      <c r="D2" s="459"/>
      <c r="E2" s="459"/>
      <c r="F2" s="459"/>
    </row>
    <row r="3" spans="1:6" ht="23.25">
      <c r="A3" s="459" t="s">
        <v>451</v>
      </c>
      <c r="B3" s="459"/>
      <c r="C3" s="459"/>
      <c r="D3" s="459"/>
      <c r="E3" s="459"/>
      <c r="F3" s="459"/>
    </row>
    <row r="6" spans="1:6" ht="23.25">
      <c r="A6" s="60" t="s">
        <v>215</v>
      </c>
      <c r="D6" s="61">
        <v>2561</v>
      </c>
      <c r="E6" s="61"/>
      <c r="F6" s="61">
        <v>2560</v>
      </c>
    </row>
    <row r="7" spans="2:6" ht="23.25">
      <c r="B7" s="59" t="s">
        <v>340</v>
      </c>
      <c r="D7" s="62">
        <v>0</v>
      </c>
      <c r="E7" s="62"/>
      <c r="F7" s="62">
        <v>673526.28</v>
      </c>
    </row>
    <row r="8" spans="2:6" ht="23.25">
      <c r="B8" s="59" t="s">
        <v>341</v>
      </c>
      <c r="D8" s="62">
        <v>3620000</v>
      </c>
      <c r="E8" s="62"/>
      <c r="F8" s="62">
        <v>3620000</v>
      </c>
    </row>
    <row r="9" spans="2:6" ht="23.25">
      <c r="B9" s="59" t="s">
        <v>342</v>
      </c>
      <c r="D9" s="62"/>
      <c r="E9" s="62"/>
      <c r="F9" s="62"/>
    </row>
    <row r="10" spans="2:6" ht="23.25">
      <c r="B10" s="59" t="s">
        <v>216</v>
      </c>
      <c r="D10" s="62">
        <v>0</v>
      </c>
      <c r="E10" s="62"/>
      <c r="F10" s="62">
        <v>0</v>
      </c>
    </row>
    <row r="11" spans="2:6" ht="23.25">
      <c r="B11" s="59" t="s">
        <v>216</v>
      </c>
      <c r="D11" s="62">
        <v>0</v>
      </c>
      <c r="E11" s="62"/>
      <c r="F11" s="62">
        <v>0</v>
      </c>
    </row>
    <row r="12" ht="23.25">
      <c r="B12" s="64" t="s">
        <v>193</v>
      </c>
    </row>
    <row r="13" spans="2:6" ht="24" thickBot="1">
      <c r="B13" s="63" t="s">
        <v>68</v>
      </c>
      <c r="C13" s="64"/>
      <c r="D13" s="65">
        <f>SUM(D7:D12)</f>
        <v>3620000</v>
      </c>
      <c r="F13" s="65">
        <f>SUM(F7:F12)</f>
        <v>4293526.28</v>
      </c>
    </row>
    <row r="14" ht="24" thickTop="1"/>
  </sheetData>
  <sheetProtection/>
  <mergeCells count="3">
    <mergeCell ref="A1:F1"/>
    <mergeCell ref="A2:F2"/>
    <mergeCell ref="A3:F3"/>
  </mergeCells>
  <printOptions/>
  <pageMargins left="0.7086614173228347" right="0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6" zoomScaleSheetLayoutView="96" zoomScalePageLayoutView="0" workbookViewId="0" topLeftCell="A1">
      <selection activeCell="E8" sqref="E8"/>
    </sheetView>
  </sheetViews>
  <sheetFormatPr defaultColWidth="9.140625" defaultRowHeight="15"/>
  <cols>
    <col min="1" max="1" width="6.57421875" style="59" customWidth="1"/>
    <col min="2" max="2" width="21.00390625" style="59" customWidth="1"/>
    <col min="3" max="3" width="10.421875" style="59" customWidth="1"/>
    <col min="4" max="4" width="11.421875" style="59" customWidth="1"/>
    <col min="5" max="5" width="10.140625" style="59" customWidth="1"/>
    <col min="6" max="6" width="9.00390625" style="59" customWidth="1"/>
    <col min="7" max="7" width="11.421875" style="59" customWidth="1"/>
    <col min="8" max="8" width="10.140625" style="59" customWidth="1"/>
    <col min="9" max="16384" width="9.00390625" style="59" customWidth="1"/>
  </cols>
  <sheetData>
    <row r="1" spans="1:8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  <c r="H1" s="459"/>
    </row>
    <row r="2" spans="1:8" ht="23.25">
      <c r="A2" s="459" t="s">
        <v>65</v>
      </c>
      <c r="B2" s="459"/>
      <c r="C2" s="459"/>
      <c r="D2" s="459"/>
      <c r="E2" s="459"/>
      <c r="F2" s="459"/>
      <c r="G2" s="459"/>
      <c r="H2" s="459"/>
    </row>
    <row r="3" spans="1:8" ht="23.25">
      <c r="A3" s="459" t="s">
        <v>452</v>
      </c>
      <c r="B3" s="459"/>
      <c r="C3" s="459"/>
      <c r="D3" s="459"/>
      <c r="E3" s="459"/>
      <c r="F3" s="459"/>
      <c r="G3" s="459"/>
      <c r="H3" s="459"/>
    </row>
    <row r="5" ht="23.25">
      <c r="A5" s="60" t="s">
        <v>217</v>
      </c>
    </row>
    <row r="6" spans="1:8" ht="23.25">
      <c r="A6" s="60"/>
      <c r="B6" s="463" t="s">
        <v>69</v>
      </c>
      <c r="C6" s="462">
        <v>2561</v>
      </c>
      <c r="D6" s="462"/>
      <c r="E6" s="462"/>
      <c r="F6" s="462">
        <v>2560</v>
      </c>
      <c r="G6" s="462"/>
      <c r="H6" s="462"/>
    </row>
    <row r="7" spans="2:8" ht="23.25">
      <c r="B7" s="463"/>
      <c r="C7" s="69" t="s">
        <v>70</v>
      </c>
      <c r="D7" s="69" t="s">
        <v>71</v>
      </c>
      <c r="E7" s="69" t="s">
        <v>30</v>
      </c>
      <c r="F7" s="69" t="s">
        <v>70</v>
      </c>
      <c r="G7" s="69" t="s">
        <v>71</v>
      </c>
      <c r="H7" s="69" t="s">
        <v>30</v>
      </c>
    </row>
    <row r="8" spans="2:8" ht="23.25">
      <c r="B8" s="73" t="s">
        <v>72</v>
      </c>
      <c r="C8" s="73">
        <v>2555</v>
      </c>
      <c r="D8" s="74"/>
      <c r="E8" s="74">
        <v>0</v>
      </c>
      <c r="F8" s="59">
        <v>2555</v>
      </c>
      <c r="G8" s="74"/>
      <c r="H8" s="74">
        <v>0</v>
      </c>
    </row>
    <row r="9" spans="2:8" ht="23.25">
      <c r="B9" s="75"/>
      <c r="C9" s="75">
        <v>2557</v>
      </c>
      <c r="D9" s="76"/>
      <c r="E9" s="76">
        <v>0</v>
      </c>
      <c r="F9" s="59">
        <v>2557</v>
      </c>
      <c r="G9" s="76"/>
      <c r="H9" s="76">
        <v>0</v>
      </c>
    </row>
    <row r="10" spans="2:8" ht="23.25">
      <c r="B10" s="460" t="s">
        <v>68</v>
      </c>
      <c r="C10" s="461"/>
      <c r="D10" s="77">
        <f>SUM(D8:D9)</f>
        <v>0</v>
      </c>
      <c r="E10" s="78">
        <f>SUM(E8:E9)</f>
        <v>0</v>
      </c>
      <c r="F10" s="78"/>
      <c r="G10" s="77">
        <f>SUM(G8:G9)</f>
        <v>0</v>
      </c>
      <c r="H10" s="78">
        <f>SUM(H8:H9)</f>
        <v>0</v>
      </c>
    </row>
    <row r="11" spans="2:8" ht="23.25">
      <c r="B11" s="73" t="s">
        <v>74</v>
      </c>
      <c r="C11" s="73">
        <v>2555</v>
      </c>
      <c r="D11" s="74"/>
      <c r="E11" s="74">
        <v>0</v>
      </c>
      <c r="F11" s="59">
        <v>2555</v>
      </c>
      <c r="G11" s="74"/>
      <c r="H11" s="74">
        <v>0</v>
      </c>
    </row>
    <row r="12" spans="2:8" ht="23.25">
      <c r="B12" s="75"/>
      <c r="C12" s="75">
        <v>2557</v>
      </c>
      <c r="D12" s="75"/>
      <c r="E12" s="76">
        <v>0</v>
      </c>
      <c r="F12" s="59">
        <v>2557</v>
      </c>
      <c r="G12" s="75"/>
      <c r="H12" s="76">
        <v>0</v>
      </c>
    </row>
    <row r="13" spans="2:8" ht="23.25">
      <c r="B13" s="460" t="s">
        <v>68</v>
      </c>
      <c r="C13" s="461"/>
      <c r="D13" s="77">
        <f>SUM(D11:D12)</f>
        <v>0</v>
      </c>
      <c r="E13" s="78">
        <f>SUM(E11:E12)</f>
        <v>0</v>
      </c>
      <c r="F13" s="78"/>
      <c r="G13" s="77">
        <f>SUM(G11:G12)</f>
        <v>0</v>
      </c>
      <c r="H13" s="78">
        <f>SUM(H11:H12)</f>
        <v>0</v>
      </c>
    </row>
    <row r="14" spans="2:8" ht="23.25">
      <c r="B14" s="73" t="s">
        <v>75</v>
      </c>
      <c r="C14" s="73">
        <v>2555</v>
      </c>
      <c r="D14" s="74"/>
      <c r="E14" s="74">
        <v>0</v>
      </c>
      <c r="F14" s="59">
        <v>2555</v>
      </c>
      <c r="G14" s="74"/>
      <c r="H14" s="74">
        <v>0</v>
      </c>
    </row>
    <row r="15" spans="2:8" ht="23.25">
      <c r="B15" s="75"/>
      <c r="C15" s="75">
        <v>2557</v>
      </c>
      <c r="D15" s="76"/>
      <c r="E15" s="76">
        <v>0</v>
      </c>
      <c r="F15" s="59">
        <v>2557</v>
      </c>
      <c r="G15" s="76"/>
      <c r="H15" s="76">
        <v>0</v>
      </c>
    </row>
    <row r="16" spans="2:8" ht="23.25">
      <c r="B16" s="460" t="s">
        <v>68</v>
      </c>
      <c r="C16" s="461"/>
      <c r="D16" s="77">
        <f>SUM(D14:D15)</f>
        <v>0</v>
      </c>
      <c r="E16" s="78">
        <f>SUM(E14:E15)</f>
        <v>0</v>
      </c>
      <c r="F16" s="78"/>
      <c r="G16" s="77">
        <f>SUM(G14:G15)</f>
        <v>0</v>
      </c>
      <c r="H16" s="78">
        <f>SUM(H14:H15)</f>
        <v>0</v>
      </c>
    </row>
    <row r="17" spans="2:8" ht="24" thickBot="1">
      <c r="B17" s="460" t="s">
        <v>73</v>
      </c>
      <c r="C17" s="461"/>
      <c r="D17" s="79">
        <f>SUM(D10+D13+D16)</f>
        <v>0</v>
      </c>
      <c r="E17" s="80">
        <f>SUM(E10+E13+E16)</f>
        <v>0</v>
      </c>
      <c r="F17" s="80"/>
      <c r="G17" s="79">
        <f>SUM(G10+G13+G16)</f>
        <v>0</v>
      </c>
      <c r="H17" s="80">
        <f>SUM(H10+H13+H16)</f>
        <v>0</v>
      </c>
    </row>
    <row r="18" ht="24" thickTop="1"/>
    <row r="22" spans="2:8" ht="23.25">
      <c r="B22" s="25"/>
      <c r="C22" s="25"/>
      <c r="D22" s="25"/>
      <c r="E22" s="25"/>
      <c r="F22" s="26"/>
      <c r="G22" s="25"/>
      <c r="H22" s="25"/>
    </row>
  </sheetData>
  <sheetProtection/>
  <mergeCells count="10">
    <mergeCell ref="A1:H1"/>
    <mergeCell ref="A2:H2"/>
    <mergeCell ref="A3:H3"/>
    <mergeCell ref="B17:C17"/>
    <mergeCell ref="B10:C10"/>
    <mergeCell ref="B13:C13"/>
    <mergeCell ref="B16:C16"/>
    <mergeCell ref="F6:H6"/>
    <mergeCell ref="C6:E6"/>
    <mergeCell ref="B6:B7"/>
  </mergeCells>
  <printOptions/>
  <pageMargins left="0.5118110236220472" right="0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91" zoomScaleSheetLayoutView="91" zoomScalePageLayoutView="0" workbookViewId="0" topLeftCell="A1">
      <selection activeCell="C20" sqref="C20:E20"/>
    </sheetView>
  </sheetViews>
  <sheetFormatPr defaultColWidth="9.140625" defaultRowHeight="15"/>
  <cols>
    <col min="1" max="1" width="20.57421875" style="59" customWidth="1"/>
    <col min="2" max="2" width="32.7109375" style="59" customWidth="1"/>
    <col min="3" max="3" width="11.28125" style="59" customWidth="1"/>
    <col min="4" max="4" width="5.00390625" style="59" customWidth="1"/>
    <col min="5" max="5" width="12.421875" style="59" customWidth="1"/>
    <col min="6" max="16384" width="9.00390625" style="59" customWidth="1"/>
  </cols>
  <sheetData>
    <row r="1" spans="1:5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</row>
    <row r="2" spans="1:5" ht="23.25">
      <c r="A2" s="459" t="s">
        <v>65</v>
      </c>
      <c r="B2" s="459"/>
      <c r="C2" s="459"/>
      <c r="D2" s="459"/>
      <c r="E2" s="459"/>
    </row>
    <row r="3" spans="1:5" ht="23.25">
      <c r="A3" s="459" t="s">
        <v>450</v>
      </c>
      <c r="B3" s="459"/>
      <c r="C3" s="459"/>
      <c r="D3" s="459"/>
      <c r="E3" s="459"/>
    </row>
    <row r="4" spans="1:5" ht="23.25">
      <c r="A4" s="60" t="s">
        <v>218</v>
      </c>
      <c r="C4" s="61">
        <v>2561</v>
      </c>
      <c r="D4" s="61"/>
      <c r="E4" s="61">
        <v>2560</v>
      </c>
    </row>
    <row r="5" spans="2:5" ht="23.25">
      <c r="B5" s="59" t="s">
        <v>219</v>
      </c>
      <c r="C5" s="62">
        <v>0</v>
      </c>
      <c r="E5" s="62">
        <v>0</v>
      </c>
    </row>
    <row r="6" spans="2:5" ht="23.25">
      <c r="B6" s="59" t="s">
        <v>220</v>
      </c>
      <c r="C6" s="62">
        <v>0</v>
      </c>
      <c r="E6" s="62">
        <v>0</v>
      </c>
    </row>
    <row r="7" spans="2:5" ht="23.25">
      <c r="B7" s="59" t="s">
        <v>193</v>
      </c>
      <c r="C7" s="62">
        <v>0</v>
      </c>
      <c r="E7" s="62">
        <v>0</v>
      </c>
    </row>
    <row r="8" spans="2:5" ht="24" thickBot="1">
      <c r="B8" s="63" t="s">
        <v>68</v>
      </c>
      <c r="C8" s="65">
        <f>SUM(C5:C7)</f>
        <v>0</v>
      </c>
      <c r="E8" s="65">
        <f>SUM(E5:E7)</f>
        <v>0</v>
      </c>
    </row>
    <row r="9" spans="2:5" ht="24" thickTop="1">
      <c r="B9" s="63"/>
      <c r="C9" s="66"/>
      <c r="E9" s="66"/>
    </row>
    <row r="10" spans="1:5" ht="23.25">
      <c r="A10" s="60" t="s">
        <v>221</v>
      </c>
      <c r="B10" s="63"/>
      <c r="C10" s="66"/>
      <c r="E10" s="66"/>
    </row>
    <row r="11" spans="1:5" ht="23.25">
      <c r="A11" s="59" t="s">
        <v>181</v>
      </c>
      <c r="B11" s="63"/>
      <c r="C11" s="66"/>
      <c r="E11" s="66"/>
    </row>
    <row r="12" spans="1:5" ht="23.25">
      <c r="A12" s="81" t="s">
        <v>207</v>
      </c>
      <c r="B12" s="81" t="s">
        <v>179</v>
      </c>
      <c r="C12" s="465" t="s">
        <v>30</v>
      </c>
      <c r="D12" s="465"/>
      <c r="E12" s="465"/>
    </row>
    <row r="13" spans="1:5" ht="23.25">
      <c r="A13" s="265" t="s">
        <v>343</v>
      </c>
      <c r="B13" s="250" t="s">
        <v>343</v>
      </c>
      <c r="C13" s="456">
        <v>0</v>
      </c>
      <c r="D13" s="456"/>
      <c r="E13" s="456"/>
    </row>
    <row r="14" spans="1:5" ht="23.25">
      <c r="A14" s="82"/>
      <c r="B14" s="83"/>
      <c r="C14" s="456"/>
      <c r="D14" s="456"/>
      <c r="E14" s="456"/>
    </row>
    <row r="15" spans="1:5" ht="23.25">
      <c r="A15" s="464" t="s">
        <v>68</v>
      </c>
      <c r="B15" s="464"/>
      <c r="C15" s="456">
        <f>SUM(C13:C14)</f>
        <v>0</v>
      </c>
      <c r="D15" s="456"/>
      <c r="E15" s="456"/>
    </row>
    <row r="16" spans="2:5" ht="0.75" customHeight="1">
      <c r="B16" s="63"/>
      <c r="C16" s="66"/>
      <c r="D16" s="62"/>
      <c r="E16" s="66"/>
    </row>
    <row r="17" spans="1:5" ht="23.25">
      <c r="A17" s="59" t="s">
        <v>214</v>
      </c>
      <c r="B17" s="63"/>
      <c r="C17" s="66"/>
      <c r="D17" s="62"/>
      <c r="E17" s="66"/>
    </row>
    <row r="18" spans="1:5" ht="23.25">
      <c r="A18" s="81" t="s">
        <v>207</v>
      </c>
      <c r="B18" s="81" t="s">
        <v>179</v>
      </c>
      <c r="C18" s="457" t="s">
        <v>30</v>
      </c>
      <c r="D18" s="457"/>
      <c r="E18" s="457"/>
    </row>
    <row r="19" spans="1:5" ht="23.25">
      <c r="A19" s="82" t="s">
        <v>344</v>
      </c>
      <c r="B19" s="266" t="s">
        <v>345</v>
      </c>
      <c r="C19" s="456">
        <v>20000</v>
      </c>
      <c r="D19" s="456"/>
      <c r="E19" s="456"/>
    </row>
    <row r="20" spans="1:5" ht="23.25">
      <c r="A20" s="82"/>
      <c r="B20" s="83"/>
      <c r="C20" s="456"/>
      <c r="D20" s="456"/>
      <c r="E20" s="456"/>
    </row>
    <row r="21" spans="1:5" ht="23.25">
      <c r="A21" s="464" t="s">
        <v>68</v>
      </c>
      <c r="B21" s="464"/>
      <c r="C21" s="456">
        <f>SUM(C19:E20)</f>
        <v>20000</v>
      </c>
      <c r="D21" s="456"/>
      <c r="E21" s="456"/>
    </row>
    <row r="23" spans="1:5" ht="23.25">
      <c r="A23" s="60" t="s">
        <v>222</v>
      </c>
      <c r="C23" s="61">
        <v>2561</v>
      </c>
      <c r="D23" s="61"/>
      <c r="E23" s="61">
        <v>2560</v>
      </c>
    </row>
    <row r="24" spans="2:5" ht="23.25">
      <c r="B24" s="59" t="s">
        <v>223</v>
      </c>
      <c r="C24" s="62">
        <v>0</v>
      </c>
      <c r="E24" s="62">
        <v>0</v>
      </c>
    </row>
    <row r="25" spans="2:5" ht="23.25">
      <c r="B25" s="59" t="s">
        <v>193</v>
      </c>
      <c r="C25" s="62">
        <v>0</v>
      </c>
      <c r="E25" s="62">
        <v>0</v>
      </c>
    </row>
    <row r="26" spans="2:5" ht="24" thickBot="1">
      <c r="B26" s="63" t="s">
        <v>68</v>
      </c>
      <c r="C26" s="65">
        <f>SUM(C24:C25)</f>
        <v>0</v>
      </c>
      <c r="E26" s="65">
        <f>SUM(E24:E25)</f>
        <v>0</v>
      </c>
    </row>
    <row r="27" spans="2:5" ht="3.75" customHeight="1" thickTop="1">
      <c r="B27" s="63"/>
      <c r="C27" s="66"/>
      <c r="E27" s="66"/>
    </row>
    <row r="28" spans="2:5" ht="3.75" customHeight="1">
      <c r="B28" s="63"/>
      <c r="C28" s="66"/>
      <c r="E28" s="66"/>
    </row>
    <row r="29" spans="2:5" ht="3.75" customHeight="1">
      <c r="B29" s="63"/>
      <c r="C29" s="66"/>
      <c r="E29" s="66"/>
    </row>
  </sheetData>
  <sheetProtection/>
  <mergeCells count="13">
    <mergeCell ref="C12:E12"/>
    <mergeCell ref="A1:E1"/>
    <mergeCell ref="A2:E2"/>
    <mergeCell ref="A3:E3"/>
    <mergeCell ref="C13:E13"/>
    <mergeCell ref="C14:E14"/>
    <mergeCell ref="C15:E15"/>
    <mergeCell ref="A15:B15"/>
    <mergeCell ref="C18:E18"/>
    <mergeCell ref="C19:E19"/>
    <mergeCell ref="C20:E20"/>
    <mergeCell ref="A21:B21"/>
    <mergeCell ref="C21:E21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5"/>
  <cols>
    <col min="1" max="1" width="20.57421875" style="59" customWidth="1"/>
    <col min="2" max="2" width="40.8515625" style="59" customWidth="1"/>
    <col min="3" max="3" width="11.28125" style="59" customWidth="1"/>
    <col min="4" max="4" width="5.00390625" style="59" customWidth="1"/>
    <col min="5" max="5" width="12.421875" style="59" customWidth="1"/>
    <col min="6" max="16384" width="9.00390625" style="59" customWidth="1"/>
  </cols>
  <sheetData>
    <row r="1" spans="1:5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</row>
    <row r="2" spans="1:5" ht="23.25">
      <c r="A2" s="459" t="s">
        <v>65</v>
      </c>
      <c r="B2" s="459"/>
      <c r="C2" s="459"/>
      <c r="D2" s="459"/>
      <c r="E2" s="459"/>
    </row>
    <row r="3" spans="1:5" ht="23.25">
      <c r="A3" s="459" t="s">
        <v>453</v>
      </c>
      <c r="B3" s="459"/>
      <c r="C3" s="459"/>
      <c r="D3" s="459"/>
      <c r="E3" s="459"/>
    </row>
    <row r="5" spans="1:5" ht="23.25">
      <c r="A5" s="60" t="s">
        <v>275</v>
      </c>
      <c r="B5" s="63"/>
      <c r="C5" s="66"/>
      <c r="E5" s="66"/>
    </row>
    <row r="6" spans="1:5" ht="23.25">
      <c r="A6" s="59" t="s">
        <v>181</v>
      </c>
      <c r="B6" s="63"/>
      <c r="C6" s="66"/>
      <c r="E6" s="66"/>
    </row>
    <row r="7" spans="1:5" ht="23.25">
      <c r="A7" s="81" t="s">
        <v>207</v>
      </c>
      <c r="B7" s="81" t="s">
        <v>31</v>
      </c>
      <c r="C7" s="465" t="s">
        <v>30</v>
      </c>
      <c r="D7" s="465"/>
      <c r="E7" s="465"/>
    </row>
    <row r="8" spans="1:5" ht="23.25">
      <c r="A8" s="82"/>
      <c r="B8" s="83"/>
      <c r="C8" s="456">
        <v>0</v>
      </c>
      <c r="D8" s="456"/>
      <c r="E8" s="456"/>
    </row>
    <row r="9" spans="1:5" ht="23.25">
      <c r="A9" s="82"/>
      <c r="B9" s="83"/>
      <c r="C9" s="456">
        <v>0</v>
      </c>
      <c r="D9" s="456"/>
      <c r="E9" s="456"/>
    </row>
    <row r="10" spans="1:5" ht="23.25">
      <c r="A10" s="464" t="s">
        <v>68</v>
      </c>
      <c r="B10" s="464"/>
      <c r="C10" s="456">
        <f>SUM(C8:E9)</f>
        <v>0</v>
      </c>
      <c r="D10" s="456"/>
      <c r="E10" s="456"/>
    </row>
    <row r="11" spans="2:5" ht="23.25">
      <c r="B11" s="63"/>
      <c r="C11" s="66"/>
      <c r="D11" s="62"/>
      <c r="E11" s="66"/>
    </row>
    <row r="12" spans="1:5" ht="23.25">
      <c r="A12" s="59" t="s">
        <v>214</v>
      </c>
      <c r="B12" s="63"/>
      <c r="C12" s="66"/>
      <c r="D12" s="62"/>
      <c r="E12" s="66"/>
    </row>
    <row r="13" spans="1:5" ht="23.25">
      <c r="A13" s="81" t="s">
        <v>207</v>
      </c>
      <c r="B13" s="81" t="s">
        <v>31</v>
      </c>
      <c r="C13" s="457" t="s">
        <v>30</v>
      </c>
      <c r="D13" s="457"/>
      <c r="E13" s="457"/>
    </row>
    <row r="14" spans="1:5" ht="23.25">
      <c r="A14" s="82"/>
      <c r="B14" s="83"/>
      <c r="C14" s="456">
        <v>0</v>
      </c>
      <c r="D14" s="456"/>
      <c r="E14" s="456"/>
    </row>
    <row r="15" spans="1:5" ht="23.25">
      <c r="A15" s="82"/>
      <c r="B15" s="83"/>
      <c r="C15" s="456">
        <v>0</v>
      </c>
      <c r="D15" s="456"/>
      <c r="E15" s="456"/>
    </row>
    <row r="16" spans="1:5" ht="23.25">
      <c r="A16" s="464" t="s">
        <v>68</v>
      </c>
      <c r="B16" s="464"/>
      <c r="C16" s="456">
        <f>SUM(C14:E15)</f>
        <v>0</v>
      </c>
      <c r="D16" s="456"/>
      <c r="E16" s="456"/>
    </row>
    <row r="17" spans="1:5" ht="23.25">
      <c r="A17" s="84"/>
      <c r="B17" s="84"/>
      <c r="C17" s="85"/>
      <c r="D17" s="85"/>
      <c r="E17" s="85"/>
    </row>
    <row r="18" spans="1:5" ht="23.25">
      <c r="A18" s="60" t="s">
        <v>276</v>
      </c>
      <c r="C18" s="61">
        <v>2561</v>
      </c>
      <c r="D18" s="61"/>
      <c r="E18" s="61">
        <v>2560</v>
      </c>
    </row>
    <row r="19" spans="2:5" ht="23.25">
      <c r="B19" s="59" t="s">
        <v>224</v>
      </c>
      <c r="C19" s="62">
        <v>0</v>
      </c>
      <c r="E19" s="62">
        <v>0</v>
      </c>
    </row>
    <row r="20" spans="2:3" ht="23.25">
      <c r="B20" s="59" t="s">
        <v>193</v>
      </c>
      <c r="C20" s="62"/>
    </row>
    <row r="21" spans="2:5" ht="24" thickBot="1">
      <c r="B21" s="63" t="s">
        <v>68</v>
      </c>
      <c r="C21" s="65">
        <f>SUM(C19:C20)</f>
        <v>0</v>
      </c>
      <c r="E21" s="65">
        <f>SUM(E19:E20)</f>
        <v>0</v>
      </c>
    </row>
    <row r="22" ht="24" thickTop="1"/>
    <row r="23" spans="1:5" ht="23.25">
      <c r="A23" s="60" t="s">
        <v>225</v>
      </c>
      <c r="C23" s="61">
        <v>2561</v>
      </c>
      <c r="D23" s="61"/>
      <c r="E23" s="61">
        <v>2560</v>
      </c>
    </row>
    <row r="24" spans="2:5" ht="23.25">
      <c r="B24" s="59" t="s">
        <v>226</v>
      </c>
      <c r="C24" s="62">
        <v>0</v>
      </c>
      <c r="E24" s="62">
        <v>0</v>
      </c>
    </row>
    <row r="25" spans="2:5" ht="23.25">
      <c r="B25" s="59" t="s">
        <v>227</v>
      </c>
      <c r="C25" s="62">
        <v>0</v>
      </c>
      <c r="E25" s="62">
        <v>0</v>
      </c>
    </row>
    <row r="26" spans="2:3" ht="23.25">
      <c r="B26" s="59" t="s">
        <v>193</v>
      </c>
      <c r="C26" s="62"/>
    </row>
    <row r="27" spans="2:5" ht="24" thickBot="1">
      <c r="B27" s="63" t="s">
        <v>68</v>
      </c>
      <c r="C27" s="65">
        <f>SUM(C24:C26)</f>
        <v>0</v>
      </c>
      <c r="E27" s="65">
        <f>SUM(E24:E26)</f>
        <v>0</v>
      </c>
    </row>
    <row r="28" ht="24" thickTop="1"/>
  </sheetData>
  <sheetProtection/>
  <mergeCells count="13">
    <mergeCell ref="A1:E1"/>
    <mergeCell ref="A2:E2"/>
    <mergeCell ref="A3:E3"/>
    <mergeCell ref="C7:E7"/>
    <mergeCell ref="C8:E8"/>
    <mergeCell ref="C9:E9"/>
    <mergeCell ref="A10:B10"/>
    <mergeCell ref="C10:E10"/>
    <mergeCell ref="C13:E13"/>
    <mergeCell ref="C14:E14"/>
    <mergeCell ref="C15:E15"/>
    <mergeCell ref="A16:B16"/>
    <mergeCell ref="C16:E16"/>
  </mergeCells>
  <printOptions/>
  <pageMargins left="0.11811023622047245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1">
      <selection activeCell="F46" sqref="F46"/>
    </sheetView>
  </sheetViews>
  <sheetFormatPr defaultColWidth="9.140625" defaultRowHeight="15"/>
  <cols>
    <col min="1" max="1" width="10.8515625" style="86" customWidth="1"/>
    <col min="2" max="2" width="11.8515625" style="86" customWidth="1"/>
    <col min="3" max="3" width="16.421875" style="86" customWidth="1"/>
    <col min="4" max="4" width="14.421875" style="86" customWidth="1"/>
    <col min="5" max="5" width="19.421875" style="86" bestFit="1" customWidth="1"/>
    <col min="6" max="6" width="40.57421875" style="86" customWidth="1"/>
    <col min="7" max="7" width="11.421875" style="86" customWidth="1"/>
    <col min="8" max="16384" width="9.00390625" style="86" customWidth="1"/>
  </cols>
  <sheetData>
    <row r="1" spans="1:7" ht="23.25">
      <c r="A1" s="459" t="str">
        <f>+งบแสดงฐานะการเงิน!A1</f>
        <v>องค์การบริหารส่วนตำบลหันห้วยทราย</v>
      </c>
      <c r="B1" s="459"/>
      <c r="C1" s="459"/>
      <c r="D1" s="459"/>
      <c r="E1" s="459"/>
      <c r="F1" s="459"/>
      <c r="G1" s="459"/>
    </row>
    <row r="2" spans="1:7" ht="21.75" customHeight="1">
      <c r="A2" s="459" t="s">
        <v>65</v>
      </c>
      <c r="B2" s="459"/>
      <c r="C2" s="459"/>
      <c r="D2" s="459"/>
      <c r="E2" s="459"/>
      <c r="F2" s="459"/>
      <c r="G2" s="459"/>
    </row>
    <row r="3" spans="1:7" ht="23.25">
      <c r="A3" s="459" t="s">
        <v>454</v>
      </c>
      <c r="B3" s="459"/>
      <c r="C3" s="459"/>
      <c r="D3" s="459"/>
      <c r="E3" s="459"/>
      <c r="F3" s="459"/>
      <c r="G3" s="459"/>
    </row>
    <row r="4" s="88" customFormat="1" ht="22.5" customHeight="1">
      <c r="A4" s="60" t="s">
        <v>228</v>
      </c>
    </row>
    <row r="5" ht="21.75" customHeight="1">
      <c r="A5" s="60" t="s">
        <v>181</v>
      </c>
    </row>
    <row r="6" spans="1:7" ht="21">
      <c r="A6" s="90" t="s">
        <v>76</v>
      </c>
      <c r="B6" s="90" t="s">
        <v>77</v>
      </c>
      <c r="C6" s="90" t="s">
        <v>78</v>
      </c>
      <c r="D6" s="90" t="s">
        <v>79</v>
      </c>
      <c r="E6" s="90" t="s">
        <v>80</v>
      </c>
      <c r="F6" s="90" t="s">
        <v>81</v>
      </c>
      <c r="G6" s="90" t="s">
        <v>30</v>
      </c>
    </row>
    <row r="7" spans="1:7" s="255" customFormat="1" ht="20.25">
      <c r="A7" s="269" t="s">
        <v>175</v>
      </c>
      <c r="B7" s="269" t="s">
        <v>346</v>
      </c>
      <c r="C7" s="269" t="s">
        <v>346</v>
      </c>
      <c r="D7" s="270" t="s">
        <v>45</v>
      </c>
      <c r="E7" s="271" t="s">
        <v>347</v>
      </c>
      <c r="F7" s="272" t="s">
        <v>348</v>
      </c>
      <c r="G7" s="273">
        <v>307300</v>
      </c>
    </row>
    <row r="8" spans="1:7" s="255" customFormat="1" ht="20.25">
      <c r="A8" s="269"/>
      <c r="B8" s="269"/>
      <c r="C8" s="269"/>
      <c r="D8" s="269"/>
      <c r="E8" s="271" t="s">
        <v>349</v>
      </c>
      <c r="F8" s="274" t="s">
        <v>350</v>
      </c>
      <c r="G8" s="275"/>
    </row>
    <row r="9" spans="1:7" s="255" customFormat="1" ht="18.75">
      <c r="A9" s="269" t="s">
        <v>175</v>
      </c>
      <c r="B9" s="269" t="s">
        <v>346</v>
      </c>
      <c r="C9" s="269" t="s">
        <v>346</v>
      </c>
      <c r="D9" s="276" t="s">
        <v>46</v>
      </c>
      <c r="E9" s="269" t="s">
        <v>351</v>
      </c>
      <c r="F9" s="269" t="s">
        <v>352</v>
      </c>
      <c r="G9" s="275">
        <v>5000</v>
      </c>
    </row>
    <row r="10" spans="1:7" s="255" customFormat="1" ht="18.75">
      <c r="A10" s="269" t="s">
        <v>175</v>
      </c>
      <c r="B10" s="269" t="s">
        <v>346</v>
      </c>
      <c r="C10" s="278" t="s">
        <v>346</v>
      </c>
      <c r="D10" s="279" t="s">
        <v>48</v>
      </c>
      <c r="E10" s="277" t="s">
        <v>48</v>
      </c>
      <c r="F10" s="280" t="s">
        <v>355</v>
      </c>
      <c r="G10" s="273">
        <v>20000</v>
      </c>
    </row>
    <row r="11" spans="1:7" s="255" customFormat="1" ht="18.75">
      <c r="A11" s="270"/>
      <c r="B11" s="270"/>
      <c r="C11" s="270"/>
      <c r="D11" s="270"/>
      <c r="E11" s="277"/>
      <c r="F11" s="280" t="s">
        <v>356</v>
      </c>
      <c r="G11" s="273"/>
    </row>
    <row r="12" spans="1:7" s="255" customFormat="1" ht="18.75">
      <c r="A12" s="466" t="s">
        <v>357</v>
      </c>
      <c r="B12" s="467"/>
      <c r="C12" s="467"/>
      <c r="D12" s="467"/>
      <c r="E12" s="467"/>
      <c r="F12" s="468"/>
      <c r="G12" s="282">
        <f>SUM(G7:G11)</f>
        <v>332300</v>
      </c>
    </row>
    <row r="13" spans="1:7" s="255" customFormat="1" ht="20.25">
      <c r="A13" s="269" t="s">
        <v>175</v>
      </c>
      <c r="B13" s="269" t="s">
        <v>346</v>
      </c>
      <c r="C13" s="269" t="s">
        <v>358</v>
      </c>
      <c r="D13" s="270" t="s">
        <v>45</v>
      </c>
      <c r="E13" s="271" t="s">
        <v>347</v>
      </c>
      <c r="F13" s="272" t="s">
        <v>348</v>
      </c>
      <c r="G13" s="273">
        <v>168820</v>
      </c>
    </row>
    <row r="14" spans="1:7" s="255" customFormat="1" ht="20.25">
      <c r="A14" s="269"/>
      <c r="B14" s="269"/>
      <c r="C14" s="269"/>
      <c r="D14" s="269"/>
      <c r="E14" s="271" t="s">
        <v>349</v>
      </c>
      <c r="F14" s="274" t="s">
        <v>350</v>
      </c>
      <c r="G14" s="275"/>
    </row>
    <row r="15" spans="1:7" s="255" customFormat="1" ht="18.75">
      <c r="A15" s="466" t="s">
        <v>359</v>
      </c>
      <c r="B15" s="467"/>
      <c r="C15" s="467"/>
      <c r="D15" s="467"/>
      <c r="E15" s="467"/>
      <c r="F15" s="468"/>
      <c r="G15" s="282">
        <f>SUM(G13:G14)</f>
        <v>168820</v>
      </c>
    </row>
    <row r="16" spans="1:7" s="255" customFormat="1" ht="20.25">
      <c r="A16" s="283" t="s">
        <v>175</v>
      </c>
      <c r="B16" s="283" t="s">
        <v>360</v>
      </c>
      <c r="C16" s="283" t="s">
        <v>384</v>
      </c>
      <c r="D16" s="284" t="s">
        <v>45</v>
      </c>
      <c r="E16" s="285" t="s">
        <v>347</v>
      </c>
      <c r="F16" s="272" t="s">
        <v>348</v>
      </c>
      <c r="G16" s="286">
        <v>111025</v>
      </c>
    </row>
    <row r="17" spans="1:7" s="255" customFormat="1" ht="20.25">
      <c r="A17" s="270"/>
      <c r="B17" s="270"/>
      <c r="C17" s="270" t="s">
        <v>360</v>
      </c>
      <c r="D17" s="277"/>
      <c r="E17" s="271" t="s">
        <v>349</v>
      </c>
      <c r="F17" s="274" t="s">
        <v>350</v>
      </c>
      <c r="G17" s="273"/>
    </row>
    <row r="18" spans="1:7" s="255" customFormat="1" ht="18.75">
      <c r="A18" s="279"/>
      <c r="B18" s="278"/>
      <c r="C18" s="278"/>
      <c r="D18" s="287"/>
      <c r="E18" s="278"/>
      <c r="F18" s="281" t="s">
        <v>363</v>
      </c>
      <c r="G18" s="282">
        <f>SUM(G16:G17)</f>
        <v>111025</v>
      </c>
    </row>
    <row r="19" spans="1:7" s="255" customFormat="1" ht="18.75">
      <c r="A19" s="292" t="s">
        <v>319</v>
      </c>
      <c r="B19" s="270" t="s">
        <v>360</v>
      </c>
      <c r="C19" s="270" t="s">
        <v>364</v>
      </c>
      <c r="D19" s="277" t="s">
        <v>50</v>
      </c>
      <c r="E19" s="309" t="s">
        <v>388</v>
      </c>
      <c r="F19" s="309" t="s">
        <v>387</v>
      </c>
      <c r="G19" s="273">
        <v>3620000</v>
      </c>
    </row>
    <row r="20" spans="1:7" s="255" customFormat="1" ht="18.75">
      <c r="A20" s="270" t="s">
        <v>175</v>
      </c>
      <c r="B20" s="270" t="s">
        <v>360</v>
      </c>
      <c r="C20" s="270" t="s">
        <v>364</v>
      </c>
      <c r="D20" s="277" t="s">
        <v>50</v>
      </c>
      <c r="E20" s="270" t="s">
        <v>389</v>
      </c>
      <c r="F20" s="270" t="s">
        <v>390</v>
      </c>
      <c r="G20" s="273">
        <v>198000</v>
      </c>
    </row>
    <row r="21" spans="1:7" s="255" customFormat="1" ht="18.75">
      <c r="A21" s="270" t="s">
        <v>175</v>
      </c>
      <c r="B21" s="270" t="s">
        <v>360</v>
      </c>
      <c r="C21" s="270" t="s">
        <v>364</v>
      </c>
      <c r="D21" s="277" t="s">
        <v>50</v>
      </c>
      <c r="E21" s="270" t="s">
        <v>389</v>
      </c>
      <c r="F21" s="270" t="s">
        <v>391</v>
      </c>
      <c r="G21" s="273">
        <v>199000</v>
      </c>
    </row>
    <row r="22" spans="1:7" s="255" customFormat="1" ht="18.75">
      <c r="A22" s="270" t="s">
        <v>175</v>
      </c>
      <c r="B22" s="270" t="s">
        <v>360</v>
      </c>
      <c r="C22" s="270" t="s">
        <v>364</v>
      </c>
      <c r="D22" s="277" t="s">
        <v>50</v>
      </c>
      <c r="E22" s="270" t="s">
        <v>392</v>
      </c>
      <c r="F22" s="309" t="s">
        <v>393</v>
      </c>
      <c r="G22" s="273">
        <v>166000</v>
      </c>
    </row>
    <row r="23" spans="1:7" s="255" customFormat="1" ht="18.75">
      <c r="A23" s="270" t="s">
        <v>175</v>
      </c>
      <c r="B23" s="270" t="s">
        <v>360</v>
      </c>
      <c r="C23" s="270" t="s">
        <v>364</v>
      </c>
      <c r="D23" s="277" t="s">
        <v>50</v>
      </c>
      <c r="E23" s="270" t="s">
        <v>389</v>
      </c>
      <c r="F23" s="270" t="s">
        <v>394</v>
      </c>
      <c r="G23" s="273">
        <v>277000</v>
      </c>
    </row>
    <row r="24" spans="1:7" s="255" customFormat="1" ht="18.75">
      <c r="A24" s="270" t="s">
        <v>175</v>
      </c>
      <c r="B24" s="270" t="s">
        <v>360</v>
      </c>
      <c r="C24" s="270" t="s">
        <v>364</v>
      </c>
      <c r="D24" s="277" t="s">
        <v>50</v>
      </c>
      <c r="E24" s="270" t="s">
        <v>389</v>
      </c>
      <c r="F24" s="270" t="s">
        <v>395</v>
      </c>
      <c r="G24" s="273">
        <v>98000</v>
      </c>
    </row>
    <row r="25" spans="1:7" s="255" customFormat="1" ht="18.75">
      <c r="A25" s="270" t="s">
        <v>175</v>
      </c>
      <c r="B25" s="270" t="s">
        <v>360</v>
      </c>
      <c r="C25" s="270" t="s">
        <v>364</v>
      </c>
      <c r="D25" s="277" t="s">
        <v>50</v>
      </c>
      <c r="E25" s="270" t="s">
        <v>389</v>
      </c>
      <c r="F25" s="309" t="s">
        <v>396</v>
      </c>
      <c r="G25" s="273">
        <v>445000</v>
      </c>
    </row>
    <row r="26" spans="1:7" s="255" customFormat="1" ht="18.75">
      <c r="A26" s="270" t="s">
        <v>175</v>
      </c>
      <c r="B26" s="270" t="s">
        <v>360</v>
      </c>
      <c r="C26" s="270" t="s">
        <v>364</v>
      </c>
      <c r="D26" s="277" t="s">
        <v>50</v>
      </c>
      <c r="E26" s="270" t="s">
        <v>389</v>
      </c>
      <c r="F26" s="288" t="s">
        <v>397</v>
      </c>
      <c r="G26" s="273">
        <v>228000</v>
      </c>
    </row>
    <row r="27" spans="1:7" s="255" customFormat="1" ht="18.75">
      <c r="A27" s="270" t="s">
        <v>175</v>
      </c>
      <c r="B27" s="270" t="s">
        <v>360</v>
      </c>
      <c r="C27" s="270" t="s">
        <v>364</v>
      </c>
      <c r="D27" s="277" t="s">
        <v>50</v>
      </c>
      <c r="E27" s="270" t="s">
        <v>389</v>
      </c>
      <c r="F27" s="288" t="s">
        <v>398</v>
      </c>
      <c r="G27" s="273">
        <v>363000</v>
      </c>
    </row>
    <row r="28" spans="1:7" s="255" customFormat="1" ht="18.75">
      <c r="A28" s="466" t="s">
        <v>363</v>
      </c>
      <c r="B28" s="467"/>
      <c r="C28" s="467"/>
      <c r="D28" s="467"/>
      <c r="E28" s="467"/>
      <c r="F28" s="468"/>
      <c r="G28" s="282">
        <f>SUM(G19:G27)</f>
        <v>5594000</v>
      </c>
    </row>
    <row r="29" spans="1:10" s="302" customFormat="1" ht="18.75">
      <c r="A29" s="469" t="s">
        <v>378</v>
      </c>
      <c r="B29" s="469"/>
      <c r="C29" s="469"/>
      <c r="D29" s="469"/>
      <c r="E29" s="469"/>
      <c r="F29" s="469"/>
      <c r="G29" s="469"/>
      <c r="H29" s="301"/>
      <c r="I29" s="301"/>
      <c r="J29" s="301"/>
    </row>
    <row r="30" spans="1:7" s="255" customFormat="1" ht="18.75">
      <c r="A30" s="294" t="s">
        <v>175</v>
      </c>
      <c r="B30" s="294" t="s">
        <v>360</v>
      </c>
      <c r="C30" s="294" t="s">
        <v>372</v>
      </c>
      <c r="D30" s="295" t="s">
        <v>46</v>
      </c>
      <c r="E30" s="296" t="s">
        <v>351</v>
      </c>
      <c r="F30" s="294" t="s">
        <v>373</v>
      </c>
      <c r="G30" s="297">
        <v>28000</v>
      </c>
    </row>
    <row r="31" spans="1:7" s="255" customFormat="1" ht="18.75">
      <c r="A31" s="466" t="s">
        <v>374</v>
      </c>
      <c r="B31" s="467"/>
      <c r="C31" s="467"/>
      <c r="D31" s="467"/>
      <c r="E31" s="467"/>
      <c r="F31" s="468"/>
      <c r="G31" s="282">
        <f>SUM(G30)</f>
        <v>28000</v>
      </c>
    </row>
    <row r="32" spans="1:7" s="255" customFormat="1" ht="20.25">
      <c r="A32" s="283" t="s">
        <v>175</v>
      </c>
      <c r="B32" s="283" t="s">
        <v>360</v>
      </c>
      <c r="C32" s="270" t="s">
        <v>385</v>
      </c>
      <c r="D32" s="284" t="s">
        <v>45</v>
      </c>
      <c r="E32" s="285" t="s">
        <v>347</v>
      </c>
      <c r="F32" s="272" t="s">
        <v>348</v>
      </c>
      <c r="G32" s="286">
        <v>165230</v>
      </c>
    </row>
    <row r="33" spans="1:10" s="255" customFormat="1" ht="20.25">
      <c r="A33" s="270"/>
      <c r="B33" s="270"/>
      <c r="C33" s="294" t="s">
        <v>386</v>
      </c>
      <c r="D33" s="277"/>
      <c r="E33" s="271" t="s">
        <v>349</v>
      </c>
      <c r="F33" s="274" t="s">
        <v>350</v>
      </c>
      <c r="G33" s="273"/>
      <c r="J33" s="298"/>
    </row>
    <row r="34" spans="1:7" s="255" customFormat="1" ht="18.75">
      <c r="A34" s="466" t="s">
        <v>377</v>
      </c>
      <c r="B34" s="467"/>
      <c r="C34" s="467"/>
      <c r="D34" s="467"/>
      <c r="E34" s="467"/>
      <c r="F34" s="468"/>
      <c r="G34" s="282">
        <f>SUM(G32:G33)</f>
        <v>165230</v>
      </c>
    </row>
    <row r="35" spans="1:7" s="255" customFormat="1" ht="18.75">
      <c r="A35" s="267" t="s">
        <v>76</v>
      </c>
      <c r="B35" s="267" t="s">
        <v>77</v>
      </c>
      <c r="C35" s="267" t="s">
        <v>78</v>
      </c>
      <c r="D35" s="267" t="s">
        <v>79</v>
      </c>
      <c r="E35" s="267" t="s">
        <v>80</v>
      </c>
      <c r="F35" s="267" t="s">
        <v>81</v>
      </c>
      <c r="G35" s="268" t="s">
        <v>30</v>
      </c>
    </row>
    <row r="36" spans="1:7" s="255" customFormat="1" ht="18.75">
      <c r="A36" s="294" t="s">
        <v>175</v>
      </c>
      <c r="B36" s="294" t="s">
        <v>379</v>
      </c>
      <c r="C36" s="294" t="s">
        <v>376</v>
      </c>
      <c r="D36" s="303" t="s">
        <v>50</v>
      </c>
      <c r="E36" s="294" t="s">
        <v>491</v>
      </c>
      <c r="F36" s="310" t="s">
        <v>399</v>
      </c>
      <c r="G36" s="297">
        <v>148000</v>
      </c>
    </row>
    <row r="37" spans="1:7" s="255" customFormat="1" ht="18.75">
      <c r="A37" s="294" t="s">
        <v>175</v>
      </c>
      <c r="B37" s="294" t="s">
        <v>379</v>
      </c>
      <c r="C37" s="294" t="s">
        <v>376</v>
      </c>
      <c r="D37" s="303" t="s">
        <v>50</v>
      </c>
      <c r="E37" s="294" t="s">
        <v>491</v>
      </c>
      <c r="F37" s="289" t="s">
        <v>400</v>
      </c>
      <c r="G37" s="291">
        <v>178000</v>
      </c>
    </row>
    <row r="38" spans="1:7" s="255" customFormat="1" ht="18.75">
      <c r="A38" s="294" t="s">
        <v>175</v>
      </c>
      <c r="B38" s="294" t="s">
        <v>379</v>
      </c>
      <c r="C38" s="294" t="s">
        <v>376</v>
      </c>
      <c r="D38" s="303" t="s">
        <v>50</v>
      </c>
      <c r="E38" s="294" t="s">
        <v>382</v>
      </c>
      <c r="F38" s="289" t="s">
        <v>401</v>
      </c>
      <c r="G38" s="291">
        <v>39000</v>
      </c>
    </row>
    <row r="39" spans="1:7" s="255" customFormat="1" ht="18.75">
      <c r="A39" s="294" t="s">
        <v>175</v>
      </c>
      <c r="B39" s="294" t="s">
        <v>379</v>
      </c>
      <c r="C39" s="294" t="s">
        <v>376</v>
      </c>
      <c r="D39" s="303" t="s">
        <v>47</v>
      </c>
      <c r="E39" s="289" t="s">
        <v>402</v>
      </c>
      <c r="F39" s="289" t="s">
        <v>402</v>
      </c>
      <c r="G39" s="291">
        <v>133831.48</v>
      </c>
    </row>
    <row r="40" spans="1:7" s="255" customFormat="1" ht="18.75">
      <c r="A40" s="466" t="s">
        <v>377</v>
      </c>
      <c r="B40" s="467"/>
      <c r="C40" s="467"/>
      <c r="D40" s="467"/>
      <c r="E40" s="467"/>
      <c r="F40" s="468"/>
      <c r="G40" s="282">
        <f>SUM(G36:G39)</f>
        <v>498831.48</v>
      </c>
    </row>
    <row r="41" spans="1:7" s="255" customFormat="1" ht="18.75">
      <c r="A41" s="279"/>
      <c r="B41" s="278"/>
      <c r="C41" s="278"/>
      <c r="D41" s="287"/>
      <c r="E41" s="278"/>
      <c r="F41" s="281" t="s">
        <v>73</v>
      </c>
      <c r="G41" s="282">
        <f>SUM(G12+G15+G18+G28+G31+G34+G40)</f>
        <v>6898206.48</v>
      </c>
    </row>
    <row r="42" spans="1:7" s="255" customFormat="1" ht="18.75">
      <c r="A42" s="305"/>
      <c r="B42" s="305"/>
      <c r="C42" s="305"/>
      <c r="D42" s="307"/>
      <c r="E42" s="305"/>
      <c r="F42" s="299"/>
      <c r="G42" s="300"/>
    </row>
    <row r="43" spans="1:7" s="255" customFormat="1" ht="18.75">
      <c r="A43" s="305"/>
      <c r="B43" s="305"/>
      <c r="C43" s="305"/>
      <c r="D43" s="307"/>
      <c r="E43" s="305"/>
      <c r="F43" s="299"/>
      <c r="G43" s="300"/>
    </row>
    <row r="44" spans="1:7" s="255" customFormat="1" ht="18.75">
      <c r="A44" s="305"/>
      <c r="B44" s="305"/>
      <c r="C44" s="305"/>
      <c r="D44" s="307"/>
      <c r="E44" s="305"/>
      <c r="F44" s="299"/>
      <c r="G44" s="300"/>
    </row>
    <row r="45" spans="1:7" s="255" customFormat="1" ht="18.75">
      <c r="A45" s="305"/>
      <c r="B45" s="305"/>
      <c r="C45" s="305"/>
      <c r="D45" s="307"/>
      <c r="E45" s="305"/>
      <c r="F45" s="299"/>
      <c r="G45" s="300"/>
    </row>
    <row r="46" spans="1:7" s="255" customFormat="1" ht="18.75">
      <c r="A46" s="305"/>
      <c r="B46" s="305"/>
      <c r="C46" s="305"/>
      <c r="D46" s="307"/>
      <c r="E46" s="305"/>
      <c r="F46" s="299"/>
      <c r="G46" s="300"/>
    </row>
    <row r="47" spans="1:7" s="255" customFormat="1" ht="18.75">
      <c r="A47" s="305"/>
      <c r="B47" s="305"/>
      <c r="C47" s="305"/>
      <c r="D47" s="307"/>
      <c r="E47" s="305"/>
      <c r="F47" s="299"/>
      <c r="G47" s="300"/>
    </row>
    <row r="48" spans="1:7" s="255" customFormat="1" ht="18.75">
      <c r="A48" s="305"/>
      <c r="B48" s="305"/>
      <c r="C48" s="305"/>
      <c r="D48" s="307"/>
      <c r="E48" s="305"/>
      <c r="F48" s="299"/>
      <c r="G48" s="300"/>
    </row>
    <row r="49" spans="1:7" s="255" customFormat="1" ht="18.75">
      <c r="A49" s="305"/>
      <c r="B49" s="305"/>
      <c r="C49" s="305"/>
      <c r="D49" s="307"/>
      <c r="E49" s="305"/>
      <c r="F49" s="299"/>
      <c r="G49" s="300"/>
    </row>
    <row r="50" spans="1:7" s="255" customFormat="1" ht="18.75">
      <c r="A50" s="305"/>
      <c r="B50" s="305"/>
      <c r="C50" s="305"/>
      <c r="D50" s="307"/>
      <c r="E50" s="305"/>
      <c r="F50" s="299"/>
      <c r="G50" s="300"/>
    </row>
    <row r="51" spans="1:7" s="255" customFormat="1" ht="18.75">
      <c r="A51" s="305"/>
      <c r="B51" s="305"/>
      <c r="C51" s="305"/>
      <c r="D51" s="307"/>
      <c r="E51" s="305"/>
      <c r="F51" s="299"/>
      <c r="G51" s="300"/>
    </row>
    <row r="52" spans="1:7" s="255" customFormat="1" ht="18.75">
      <c r="A52" s="305"/>
      <c r="B52" s="305"/>
      <c r="C52" s="305"/>
      <c r="D52" s="307"/>
      <c r="E52" s="305"/>
      <c r="F52" s="299"/>
      <c r="G52" s="300"/>
    </row>
    <row r="53" spans="1:7" s="255" customFormat="1" ht="18.75">
      <c r="A53" s="305"/>
      <c r="B53" s="305"/>
      <c r="C53" s="305"/>
      <c r="D53" s="307"/>
      <c r="E53" s="305"/>
      <c r="F53" s="299"/>
      <c r="G53" s="300"/>
    </row>
    <row r="54" spans="1:7" s="255" customFormat="1" ht="18.75">
      <c r="A54" s="305"/>
      <c r="B54" s="305"/>
      <c r="C54" s="305"/>
      <c r="D54" s="307"/>
      <c r="E54" s="305"/>
      <c r="F54" s="299"/>
      <c r="G54" s="300"/>
    </row>
    <row r="55" spans="1:7" s="255" customFormat="1" ht="18.75">
      <c r="A55" s="305"/>
      <c r="B55" s="305"/>
      <c r="C55" s="305"/>
      <c r="D55" s="307"/>
      <c r="E55" s="305"/>
      <c r="F55" s="299"/>
      <c r="G55" s="300"/>
    </row>
    <row r="56" spans="1:7" s="255" customFormat="1" ht="18.75">
      <c r="A56" s="305"/>
      <c r="B56" s="305"/>
      <c r="C56" s="305"/>
      <c r="D56" s="307"/>
      <c r="E56" s="305"/>
      <c r="F56" s="299"/>
      <c r="G56" s="300"/>
    </row>
    <row r="57" spans="1:7" s="255" customFormat="1" ht="18.75">
      <c r="A57" s="305"/>
      <c r="B57" s="305"/>
      <c r="C57" s="305"/>
      <c r="D57" s="307"/>
      <c r="E57" s="305"/>
      <c r="F57" s="299"/>
      <c r="G57" s="300"/>
    </row>
    <row r="58" spans="1:7" s="255" customFormat="1" ht="18.75">
      <c r="A58" s="305"/>
      <c r="B58" s="305"/>
      <c r="C58" s="305"/>
      <c r="D58" s="307"/>
      <c r="E58" s="305"/>
      <c r="F58" s="299"/>
      <c r="G58" s="300"/>
    </row>
    <row r="59" spans="1:7" s="255" customFormat="1" ht="18.75">
      <c r="A59" s="305"/>
      <c r="B59" s="305"/>
      <c r="C59" s="305"/>
      <c r="D59" s="307"/>
      <c r="E59" s="305"/>
      <c r="F59" s="299"/>
      <c r="G59" s="300"/>
    </row>
    <row r="60" ht="21.75" customHeight="1">
      <c r="A60" s="89" t="s">
        <v>214</v>
      </c>
    </row>
    <row r="61" spans="1:7" s="255" customFormat="1" ht="18.75">
      <c r="A61" s="267" t="s">
        <v>76</v>
      </c>
      <c r="B61" s="267" t="s">
        <v>77</v>
      </c>
      <c r="C61" s="267" t="s">
        <v>78</v>
      </c>
      <c r="D61" s="267" t="s">
        <v>79</v>
      </c>
      <c r="E61" s="267" t="s">
        <v>80</v>
      </c>
      <c r="F61" s="267" t="s">
        <v>81</v>
      </c>
      <c r="G61" s="268" t="s">
        <v>30</v>
      </c>
    </row>
    <row r="62" spans="1:7" s="255" customFormat="1" ht="20.25">
      <c r="A62" s="269" t="s">
        <v>175</v>
      </c>
      <c r="B62" s="269" t="s">
        <v>346</v>
      </c>
      <c r="C62" s="269" t="s">
        <v>346</v>
      </c>
      <c r="D62" s="270" t="s">
        <v>45</v>
      </c>
      <c r="E62" s="271" t="s">
        <v>347</v>
      </c>
      <c r="F62" s="272" t="s">
        <v>348</v>
      </c>
      <c r="G62" s="273">
        <v>360840</v>
      </c>
    </row>
    <row r="63" spans="1:7" s="255" customFormat="1" ht="20.25">
      <c r="A63" s="269"/>
      <c r="B63" s="269"/>
      <c r="C63" s="269"/>
      <c r="D63" s="269"/>
      <c r="E63" s="271" t="s">
        <v>349</v>
      </c>
      <c r="F63" s="274" t="s">
        <v>350</v>
      </c>
      <c r="G63" s="275"/>
    </row>
    <row r="64" spans="1:7" s="255" customFormat="1" ht="18.75">
      <c r="A64" s="269" t="s">
        <v>175</v>
      </c>
      <c r="B64" s="269" t="s">
        <v>346</v>
      </c>
      <c r="C64" s="269" t="s">
        <v>346</v>
      </c>
      <c r="D64" s="276" t="s">
        <v>46</v>
      </c>
      <c r="E64" s="269" t="s">
        <v>351</v>
      </c>
      <c r="F64" s="269" t="s">
        <v>352</v>
      </c>
      <c r="G64" s="275">
        <v>5000</v>
      </c>
    </row>
    <row r="65" spans="1:7" s="255" customFormat="1" ht="18.75">
      <c r="A65" s="269" t="s">
        <v>175</v>
      </c>
      <c r="B65" s="269" t="s">
        <v>346</v>
      </c>
      <c r="C65" s="270" t="s">
        <v>49</v>
      </c>
      <c r="D65" s="270" t="s">
        <v>49</v>
      </c>
      <c r="E65" s="277" t="s">
        <v>353</v>
      </c>
      <c r="F65" s="270" t="s">
        <v>354</v>
      </c>
      <c r="G65" s="273">
        <v>3061</v>
      </c>
    </row>
    <row r="66" spans="1:7" s="255" customFormat="1" ht="18.75">
      <c r="A66" s="269" t="s">
        <v>175</v>
      </c>
      <c r="B66" s="269" t="s">
        <v>346</v>
      </c>
      <c r="C66" s="278" t="s">
        <v>346</v>
      </c>
      <c r="D66" s="279" t="s">
        <v>48</v>
      </c>
      <c r="E66" s="277" t="s">
        <v>48</v>
      </c>
      <c r="F66" s="280" t="s">
        <v>355</v>
      </c>
      <c r="G66" s="273">
        <v>25000</v>
      </c>
    </row>
    <row r="67" spans="1:7" s="255" customFormat="1" ht="18.75">
      <c r="A67" s="270"/>
      <c r="B67" s="270"/>
      <c r="C67" s="270"/>
      <c r="D67" s="270"/>
      <c r="E67" s="277"/>
      <c r="F67" s="280" t="s">
        <v>356</v>
      </c>
      <c r="G67" s="273"/>
    </row>
    <row r="68" spans="1:7" s="255" customFormat="1" ht="18.75">
      <c r="A68" s="466" t="s">
        <v>357</v>
      </c>
      <c r="B68" s="467"/>
      <c r="C68" s="467"/>
      <c r="D68" s="467"/>
      <c r="E68" s="467"/>
      <c r="F68" s="468"/>
      <c r="G68" s="282">
        <f>SUM(G62:G67)</f>
        <v>393901</v>
      </c>
    </row>
    <row r="69" spans="1:7" s="255" customFormat="1" ht="20.25">
      <c r="A69" s="269" t="s">
        <v>175</v>
      </c>
      <c r="B69" s="269" t="s">
        <v>346</v>
      </c>
      <c r="C69" s="269" t="s">
        <v>358</v>
      </c>
      <c r="D69" s="270" t="s">
        <v>45</v>
      </c>
      <c r="E69" s="271" t="s">
        <v>347</v>
      </c>
      <c r="F69" s="272" t="s">
        <v>348</v>
      </c>
      <c r="G69" s="273">
        <v>114460</v>
      </c>
    </row>
    <row r="70" spans="1:7" s="255" customFormat="1" ht="20.25">
      <c r="A70" s="269"/>
      <c r="B70" s="269"/>
      <c r="C70" s="269"/>
      <c r="D70" s="269"/>
      <c r="E70" s="271" t="s">
        <v>349</v>
      </c>
      <c r="F70" s="274" t="s">
        <v>350</v>
      </c>
      <c r="G70" s="275"/>
    </row>
    <row r="71" spans="1:7" s="255" customFormat="1" ht="18.75">
      <c r="A71" s="466" t="s">
        <v>359</v>
      </c>
      <c r="B71" s="467"/>
      <c r="C71" s="467"/>
      <c r="D71" s="467"/>
      <c r="E71" s="467"/>
      <c r="F71" s="468"/>
      <c r="G71" s="282">
        <f>SUM(G69:G70)</f>
        <v>114460</v>
      </c>
    </row>
    <row r="72" spans="1:7" s="255" customFormat="1" ht="20.25">
      <c r="A72" s="283" t="s">
        <v>175</v>
      </c>
      <c r="B72" s="283" t="s">
        <v>360</v>
      </c>
      <c r="C72" s="283" t="s">
        <v>361</v>
      </c>
      <c r="D72" s="284" t="s">
        <v>45</v>
      </c>
      <c r="E72" s="285" t="s">
        <v>347</v>
      </c>
      <c r="F72" s="272" t="s">
        <v>348</v>
      </c>
      <c r="G72" s="286">
        <v>74320</v>
      </c>
    </row>
    <row r="73" spans="1:7" s="255" customFormat="1" ht="20.25">
      <c r="A73" s="270"/>
      <c r="B73" s="270"/>
      <c r="C73" s="270" t="s">
        <v>362</v>
      </c>
      <c r="D73" s="277"/>
      <c r="E73" s="271" t="s">
        <v>349</v>
      </c>
      <c r="F73" s="274" t="s">
        <v>350</v>
      </c>
      <c r="G73" s="273"/>
    </row>
    <row r="74" spans="1:7" s="255" customFormat="1" ht="18.75">
      <c r="A74" s="279"/>
      <c r="B74" s="278"/>
      <c r="C74" s="278"/>
      <c r="D74" s="287"/>
      <c r="E74" s="278"/>
      <c r="F74" s="281" t="s">
        <v>363</v>
      </c>
      <c r="G74" s="282">
        <f>SUM(G72:G73)</f>
        <v>74320</v>
      </c>
    </row>
    <row r="75" spans="1:7" s="255" customFormat="1" ht="18.75">
      <c r="A75" s="270" t="s">
        <v>175</v>
      </c>
      <c r="B75" s="270" t="s">
        <v>360</v>
      </c>
      <c r="C75" s="270" t="s">
        <v>364</v>
      </c>
      <c r="D75" s="277" t="s">
        <v>50</v>
      </c>
      <c r="E75" s="270" t="s">
        <v>365</v>
      </c>
      <c r="F75" s="288" t="s">
        <v>366</v>
      </c>
      <c r="G75" s="273">
        <v>760000</v>
      </c>
    </row>
    <row r="76" spans="1:7" s="255" customFormat="1" ht="18.75">
      <c r="A76" s="289" t="s">
        <v>175</v>
      </c>
      <c r="B76" s="289" t="s">
        <v>360</v>
      </c>
      <c r="C76" s="289" t="s">
        <v>364</v>
      </c>
      <c r="D76" s="290" t="s">
        <v>50</v>
      </c>
      <c r="E76" s="289" t="s">
        <v>100</v>
      </c>
      <c r="F76" s="289" t="s">
        <v>367</v>
      </c>
      <c r="G76" s="291">
        <v>56000</v>
      </c>
    </row>
    <row r="77" spans="1:7" s="255" customFormat="1" ht="18.75">
      <c r="A77" s="292" t="s">
        <v>319</v>
      </c>
      <c r="B77" s="270" t="s">
        <v>360</v>
      </c>
      <c r="C77" s="270" t="s">
        <v>364</v>
      </c>
      <c r="D77" s="277" t="s">
        <v>50</v>
      </c>
      <c r="E77" s="270" t="s">
        <v>368</v>
      </c>
      <c r="F77" s="270" t="s">
        <v>369</v>
      </c>
      <c r="G77" s="273">
        <v>3620000</v>
      </c>
    </row>
    <row r="78" spans="1:7" s="255" customFormat="1" ht="18.75">
      <c r="A78" s="293"/>
      <c r="B78" s="269"/>
      <c r="C78" s="269"/>
      <c r="D78" s="276"/>
      <c r="E78" s="269" t="s">
        <v>370</v>
      </c>
      <c r="F78" s="269" t="s">
        <v>371</v>
      </c>
      <c r="G78" s="291"/>
    </row>
    <row r="79" spans="1:7" s="255" customFormat="1" ht="18.75">
      <c r="A79" s="466" t="s">
        <v>363</v>
      </c>
      <c r="B79" s="467"/>
      <c r="C79" s="467"/>
      <c r="D79" s="467"/>
      <c r="E79" s="467"/>
      <c r="F79" s="468"/>
      <c r="G79" s="282">
        <f>SUM(G75:G78)</f>
        <v>4436000</v>
      </c>
    </row>
    <row r="80" spans="1:7" s="255" customFormat="1" ht="18.75">
      <c r="A80" s="294" t="s">
        <v>175</v>
      </c>
      <c r="B80" s="294" t="s">
        <v>360</v>
      </c>
      <c r="C80" s="294" t="s">
        <v>372</v>
      </c>
      <c r="D80" s="295" t="s">
        <v>46</v>
      </c>
      <c r="E80" s="296" t="s">
        <v>351</v>
      </c>
      <c r="F80" s="294" t="s">
        <v>373</v>
      </c>
      <c r="G80" s="297">
        <v>28000</v>
      </c>
    </row>
    <row r="81" spans="1:7" s="255" customFormat="1" ht="18.75">
      <c r="A81" s="466" t="s">
        <v>374</v>
      </c>
      <c r="B81" s="467"/>
      <c r="C81" s="467"/>
      <c r="D81" s="467"/>
      <c r="E81" s="467"/>
      <c r="F81" s="468"/>
      <c r="G81" s="282">
        <f>SUM(G80)</f>
        <v>28000</v>
      </c>
    </row>
    <row r="82" spans="1:7" s="255" customFormat="1" ht="20.25">
      <c r="A82" s="283" t="s">
        <v>175</v>
      </c>
      <c r="B82" s="283" t="s">
        <v>360</v>
      </c>
      <c r="C82" s="270" t="s">
        <v>375</v>
      </c>
      <c r="D82" s="284" t="s">
        <v>45</v>
      </c>
      <c r="E82" s="285" t="s">
        <v>347</v>
      </c>
      <c r="F82" s="272" t="s">
        <v>348</v>
      </c>
      <c r="G82" s="286">
        <v>25000</v>
      </c>
    </row>
    <row r="83" spans="1:10" s="255" customFormat="1" ht="20.25">
      <c r="A83" s="270"/>
      <c r="B83" s="270"/>
      <c r="C83" s="294" t="s">
        <v>376</v>
      </c>
      <c r="D83" s="277"/>
      <c r="E83" s="271" t="s">
        <v>349</v>
      </c>
      <c r="F83" s="274" t="s">
        <v>350</v>
      </c>
      <c r="G83" s="273">
        <v>90000</v>
      </c>
      <c r="J83" s="298"/>
    </row>
    <row r="84" spans="1:7" s="255" customFormat="1" ht="18.75">
      <c r="A84" s="466" t="s">
        <v>377</v>
      </c>
      <c r="B84" s="467"/>
      <c r="C84" s="467"/>
      <c r="D84" s="467"/>
      <c r="E84" s="467"/>
      <c r="F84" s="468"/>
      <c r="G84" s="282">
        <f>SUM(G82:G83)</f>
        <v>115000</v>
      </c>
    </row>
    <row r="85" spans="1:7" s="255" customFormat="1" ht="18.75">
      <c r="A85" s="299"/>
      <c r="B85" s="299"/>
      <c r="C85" s="299"/>
      <c r="D85" s="299"/>
      <c r="E85" s="299"/>
      <c r="F85" s="299"/>
      <c r="G85" s="300"/>
    </row>
    <row r="86" spans="1:7" s="255" customFormat="1" ht="18.75">
      <c r="A86" s="299"/>
      <c r="B86" s="299"/>
      <c r="C86" s="299"/>
      <c r="D86" s="299"/>
      <c r="E86" s="299"/>
      <c r="F86" s="299"/>
      <c r="G86" s="300"/>
    </row>
    <row r="87" spans="1:7" s="255" customFormat="1" ht="18.75">
      <c r="A87" s="299"/>
      <c r="B87" s="299"/>
      <c r="C87" s="299"/>
      <c r="D87" s="299"/>
      <c r="E87" s="299"/>
      <c r="F87" s="299"/>
      <c r="G87" s="300"/>
    </row>
    <row r="88" spans="1:7" s="255" customFormat="1" ht="18.75">
      <c r="A88" s="299"/>
      <c r="B88" s="299"/>
      <c r="C88" s="299"/>
      <c r="D88" s="299"/>
      <c r="E88" s="299"/>
      <c r="F88" s="299"/>
      <c r="G88" s="300"/>
    </row>
    <row r="89" spans="1:10" s="302" customFormat="1" ht="18.75">
      <c r="A89" s="469" t="s">
        <v>378</v>
      </c>
      <c r="B89" s="469"/>
      <c r="C89" s="469"/>
      <c r="D89" s="469"/>
      <c r="E89" s="469"/>
      <c r="F89" s="469"/>
      <c r="G89" s="469"/>
      <c r="H89" s="301"/>
      <c r="I89" s="301"/>
      <c r="J89" s="301"/>
    </row>
    <row r="90" spans="1:7" s="255" customFormat="1" ht="18.75">
      <c r="A90" s="267" t="s">
        <v>76</v>
      </c>
      <c r="B90" s="267" t="s">
        <v>77</v>
      </c>
      <c r="C90" s="267" t="s">
        <v>78</v>
      </c>
      <c r="D90" s="267" t="s">
        <v>79</v>
      </c>
      <c r="E90" s="267" t="s">
        <v>80</v>
      </c>
      <c r="F90" s="267" t="s">
        <v>81</v>
      </c>
      <c r="G90" s="268" t="s">
        <v>30</v>
      </c>
    </row>
    <row r="91" spans="1:7" s="255" customFormat="1" ht="18.75">
      <c r="A91" s="294" t="s">
        <v>175</v>
      </c>
      <c r="B91" s="294" t="s">
        <v>379</v>
      </c>
      <c r="C91" s="294" t="s">
        <v>376</v>
      </c>
      <c r="D91" s="303" t="s">
        <v>278</v>
      </c>
      <c r="E91" s="294" t="s">
        <v>380</v>
      </c>
      <c r="F91" s="294" t="s">
        <v>380</v>
      </c>
      <c r="G91" s="297">
        <v>9660</v>
      </c>
    </row>
    <row r="92" spans="1:7" s="255" customFormat="1" ht="18.75">
      <c r="A92" s="294" t="s">
        <v>175</v>
      </c>
      <c r="B92" s="294" t="s">
        <v>379</v>
      </c>
      <c r="C92" s="294" t="s">
        <v>376</v>
      </c>
      <c r="D92" s="303" t="s">
        <v>278</v>
      </c>
      <c r="E92" s="289" t="s">
        <v>381</v>
      </c>
      <c r="F92" s="289" t="s">
        <v>381</v>
      </c>
      <c r="G92" s="291">
        <v>51550</v>
      </c>
    </row>
    <row r="93" spans="1:10" s="255" customFormat="1" ht="18.75">
      <c r="A93" s="294" t="s">
        <v>175</v>
      </c>
      <c r="B93" s="294" t="s">
        <v>379</v>
      </c>
      <c r="C93" s="294" t="s">
        <v>376</v>
      </c>
      <c r="D93" s="303" t="s">
        <v>50</v>
      </c>
      <c r="E93" s="294" t="s">
        <v>382</v>
      </c>
      <c r="F93" s="294" t="s">
        <v>383</v>
      </c>
      <c r="G93" s="297">
        <v>245000</v>
      </c>
      <c r="J93" s="298"/>
    </row>
    <row r="94" spans="1:7" s="255" customFormat="1" ht="18.75">
      <c r="A94" s="304"/>
      <c r="B94" s="305"/>
      <c r="C94" s="306"/>
      <c r="D94" s="307"/>
      <c r="E94" s="305"/>
      <c r="F94" s="308"/>
      <c r="G94" s="291"/>
    </row>
    <row r="95" spans="1:7" s="255" customFormat="1" ht="18.75">
      <c r="A95" s="466" t="s">
        <v>377</v>
      </c>
      <c r="B95" s="467"/>
      <c r="C95" s="467"/>
      <c r="D95" s="467"/>
      <c r="E95" s="467"/>
      <c r="F95" s="468"/>
      <c r="G95" s="282">
        <f>SUM(G91:G94)</f>
        <v>306210</v>
      </c>
    </row>
    <row r="96" spans="1:7" s="255" customFormat="1" ht="18.75">
      <c r="A96" s="279"/>
      <c r="B96" s="278"/>
      <c r="C96" s="278"/>
      <c r="D96" s="287"/>
      <c r="E96" s="278"/>
      <c r="F96" s="281" t="s">
        <v>73</v>
      </c>
      <c r="G96" s="282">
        <f>SUM(G68+G71+G74+G79+G81+G84+G95)</f>
        <v>5467891</v>
      </c>
    </row>
    <row r="97" s="59" customFormat="1" ht="23.25"/>
    <row r="98" s="59" customFormat="1" ht="23.25"/>
  </sheetData>
  <sheetProtection/>
  <mergeCells count="17">
    <mergeCell ref="A95:F95"/>
    <mergeCell ref="A40:F40"/>
    <mergeCell ref="A12:F12"/>
    <mergeCell ref="A28:F28"/>
    <mergeCell ref="A31:F31"/>
    <mergeCell ref="A34:F34"/>
    <mergeCell ref="A29:G29"/>
    <mergeCell ref="A81:F81"/>
    <mergeCell ref="A68:F68"/>
    <mergeCell ref="A71:F71"/>
    <mergeCell ref="A79:F79"/>
    <mergeCell ref="A84:F84"/>
    <mergeCell ref="A89:G89"/>
    <mergeCell ref="A1:G1"/>
    <mergeCell ref="A2:G2"/>
    <mergeCell ref="A3:G3"/>
    <mergeCell ref="A15:F15"/>
  </mergeCells>
  <printOptions/>
  <pageMargins left="0.33" right="0.16" top="0.23958333333333334" bottom="0.3333333333333333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อารียา ปิยะมาสิกุล</dc:creator>
  <cp:keywords/>
  <dc:description/>
  <cp:lastModifiedBy>Administrator</cp:lastModifiedBy>
  <cp:lastPrinted>2018-11-27T04:02:07Z</cp:lastPrinted>
  <dcterms:created xsi:type="dcterms:W3CDTF">2015-09-06T08:47:00Z</dcterms:created>
  <dcterms:modified xsi:type="dcterms:W3CDTF">2019-06-25T04:20:37Z</dcterms:modified>
  <cp:category/>
  <cp:version/>
  <cp:contentType/>
  <cp:contentStatus/>
</cp:coreProperties>
</file>